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9600" windowHeight="12855"/>
  </bookViews>
  <sheets>
    <sheet name="12 дней с 12 до 18 лет" sheetId="10" r:id="rId1"/>
    <sheet name="Лист2" sheetId="21" r:id="rId2"/>
    <sheet name="Лист1" sheetId="20" r:id="rId3"/>
    <sheet name="РП с 7 до 11 лет" sheetId="18" r:id="rId4"/>
    <sheet name="Лист1 с 7 до 11 лет" sheetId="9" r:id="rId5"/>
    <sheet name="нормы" sheetId="17" r:id="rId6"/>
    <sheet name="расчеты" sheetId="7" r:id="rId7"/>
    <sheet name="салаты" sheetId="6" r:id="rId8"/>
    <sheet name="ТК_салаты_1-33" sheetId="11" r:id="rId9"/>
    <sheet name="мясо" sheetId="5" r:id="rId10"/>
    <sheet name="ТК_мясо_34-57" sheetId="12" r:id="rId11"/>
    <sheet name="каши" sheetId="1" r:id="rId12"/>
    <sheet name="ТК_каши_58-73" sheetId="13" r:id="rId13"/>
    <sheet name="супы" sheetId="2" r:id="rId14"/>
    <sheet name="ТК_супы_74-85" sheetId="14" r:id="rId15"/>
    <sheet name="выпечка" sheetId="3" r:id="rId16"/>
    <sheet name="ТК_выпечка_86-100" sheetId="15" r:id="rId17"/>
    <sheet name="напитки" sheetId="4" r:id="rId18"/>
    <sheet name="ТК_напитки_101-114" sheetId="16" r:id="rId19"/>
    <sheet name="ТК_соусы"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calcPr calcId="145621"/>
</workbook>
</file>

<file path=xl/calcChain.xml><?xml version="1.0" encoding="utf-8"?>
<calcChain xmlns="http://schemas.openxmlformats.org/spreadsheetml/2006/main">
  <c r="C212" i="10" l="1"/>
  <c r="C109" i="10" l="1"/>
  <c r="C192" i="10" l="1"/>
  <c r="C150" i="10" l="1"/>
  <c r="F86" i="10" l="1"/>
  <c r="E86" i="10"/>
  <c r="D86" i="10"/>
  <c r="G86" i="10"/>
  <c r="C86" i="10"/>
  <c r="D76" i="10"/>
  <c r="E76" i="10"/>
  <c r="F76" i="10"/>
  <c r="C76" i="10"/>
  <c r="D65" i="10"/>
  <c r="E65" i="10"/>
  <c r="F65" i="10"/>
  <c r="G65" i="10"/>
  <c r="C65" i="10"/>
  <c r="D41" i="10"/>
  <c r="E41" i="10"/>
  <c r="F41" i="10"/>
  <c r="G41" i="10"/>
  <c r="F20" i="10"/>
  <c r="C27" i="10"/>
  <c r="F27" i="10" l="1"/>
  <c r="D27" i="10"/>
  <c r="E27" i="10"/>
  <c r="F193" i="10" l="1"/>
  <c r="E193" i="10"/>
  <c r="G193" i="10"/>
  <c r="D193" i="10"/>
  <c r="F170" i="10"/>
  <c r="F119" i="10"/>
  <c r="F50" i="10"/>
  <c r="D50" i="10"/>
  <c r="C50" i="10"/>
  <c r="E50" i="10"/>
  <c r="G16" i="10"/>
  <c r="C16" i="10"/>
  <c r="A189" i="10" l="1"/>
  <c r="G25" i="10" l="1"/>
  <c r="G48" i="10"/>
  <c r="G50" i="10" s="1"/>
  <c r="G74" i="10"/>
  <c r="G76" i="10" s="1"/>
  <c r="G95" i="10"/>
  <c r="G106" i="10"/>
  <c r="G105" i="10"/>
  <c r="G158" i="10"/>
  <c r="G178" i="10"/>
  <c r="G200" i="10"/>
  <c r="G221" i="10"/>
  <c r="G242" i="10"/>
  <c r="G27" i="10" l="1"/>
  <c r="G28" i="10" s="1"/>
  <c r="D213" i="10" l="1"/>
  <c r="E213" i="10"/>
  <c r="F213" i="10"/>
  <c r="G213" i="10"/>
  <c r="G77" i="10" l="1"/>
  <c r="D244" i="10" l="1"/>
  <c r="E244" i="10"/>
  <c r="F244" i="10"/>
  <c r="G244" i="10"/>
  <c r="C244" i="10"/>
  <c r="D223" i="10"/>
  <c r="D224" i="10" s="1"/>
  <c r="E223" i="10"/>
  <c r="E224" i="10" s="1"/>
  <c r="F223" i="10"/>
  <c r="F224" i="10" s="1"/>
  <c r="G223" i="10"/>
  <c r="G224" i="10" s="1"/>
  <c r="D202" i="10"/>
  <c r="E202" i="10"/>
  <c r="F202" i="10"/>
  <c r="G202" i="10"/>
  <c r="D181" i="10"/>
  <c r="E181" i="10"/>
  <c r="F181" i="10"/>
  <c r="G181" i="10"/>
  <c r="D160" i="10"/>
  <c r="E160" i="10"/>
  <c r="F160" i="10"/>
  <c r="G160" i="10"/>
  <c r="C160" i="10"/>
  <c r="G119" i="10"/>
  <c r="D119" i="10"/>
  <c r="E119" i="10"/>
  <c r="C119" i="10"/>
  <c r="D97" i="10"/>
  <c r="E97" i="10"/>
  <c r="F97" i="10"/>
  <c r="G97" i="10"/>
  <c r="C97" i="10"/>
  <c r="D77" i="10"/>
  <c r="E77" i="10"/>
  <c r="F77" i="10"/>
  <c r="A74" i="10"/>
  <c r="P33" i="18" l="1"/>
  <c r="P34" i="18"/>
  <c r="P32" i="18" l="1"/>
  <c r="P31" i="18"/>
  <c r="P30" i="18"/>
  <c r="P29" i="18"/>
  <c r="P27" i="18"/>
  <c r="P26" i="18"/>
  <c r="P25" i="18"/>
  <c r="P24" i="18"/>
  <c r="P23" i="18"/>
  <c r="P22" i="18"/>
  <c r="P21" i="18"/>
  <c r="P19" i="18"/>
  <c r="P18" i="18"/>
  <c r="P17" i="18"/>
  <c r="P15" i="18"/>
  <c r="P13" i="18"/>
  <c r="P12" i="18"/>
  <c r="P11" i="18"/>
  <c r="P10" i="18"/>
  <c r="P9" i="18"/>
  <c r="P8" i="18"/>
  <c r="P7" i="18"/>
  <c r="P6" i="18"/>
  <c r="P5" i="18"/>
  <c r="G109" i="10" l="1"/>
  <c r="G120" i="10" s="1"/>
  <c r="E109" i="10" l="1"/>
  <c r="E120" i="10" s="1"/>
  <c r="F109" i="10"/>
  <c r="F120" i="10" s="1"/>
  <c r="D109" i="10"/>
  <c r="D120" i="10" s="1"/>
  <c r="D51" i="10" l="1"/>
  <c r="E51" i="10"/>
  <c r="F51" i="10"/>
  <c r="G51" i="10"/>
  <c r="C41" i="10"/>
  <c r="C233" i="10" l="1"/>
  <c r="C222" i="10"/>
  <c r="C223" i="10" s="1"/>
  <c r="E203" i="10"/>
  <c r="F203" i="10"/>
  <c r="G203" i="10"/>
  <c r="D203" i="10"/>
  <c r="E170" i="10"/>
  <c r="E182" i="10" s="1"/>
  <c r="F182" i="10"/>
  <c r="G170" i="10"/>
  <c r="G182" i="10" s="1"/>
  <c r="D170" i="10"/>
  <c r="D182" i="10" s="1"/>
  <c r="C151" i="10"/>
  <c r="E151" i="10"/>
  <c r="E161" i="10" s="1"/>
  <c r="F151" i="10"/>
  <c r="F161" i="10" s="1"/>
  <c r="G151" i="10"/>
  <c r="G161" i="10" s="1"/>
  <c r="D151" i="10"/>
  <c r="D161" i="10" s="1"/>
  <c r="E98" i="10" l="1"/>
  <c r="G98" i="10"/>
  <c r="D98" i="10"/>
  <c r="E16" i="10"/>
  <c r="E28" i="10" s="1"/>
  <c r="F16" i="10"/>
  <c r="F28" i="10" s="1"/>
  <c r="D16" i="10"/>
  <c r="D28" i="10" s="1"/>
  <c r="A47" i="10" l="1"/>
  <c r="A104" i="10" l="1"/>
  <c r="A83" i="10"/>
  <c r="A82" i="10"/>
  <c r="G234" i="10" l="1"/>
  <c r="G246" i="10" s="1"/>
  <c r="E234" i="10" l="1"/>
  <c r="E246" i="10" s="1"/>
  <c r="F234" i="10"/>
  <c r="F246" i="10" s="1"/>
  <c r="D234" i="10"/>
  <c r="D246" i="10" s="1"/>
  <c r="C180" i="10"/>
  <c r="C181" i="10" s="1"/>
  <c r="A62" i="10" l="1"/>
  <c r="A63" i="10"/>
  <c r="A15" i="10" l="1"/>
  <c r="A14" i="10"/>
  <c r="C234" i="10" l="1"/>
  <c r="G19" i="19" l="1"/>
  <c r="G18" i="19"/>
  <c r="G17" i="19"/>
  <c r="F17" i="19"/>
  <c r="G16" i="19"/>
  <c r="F16" i="19"/>
  <c r="G15" i="19"/>
  <c r="F15" i="19"/>
  <c r="G14" i="19"/>
  <c r="F14" i="19"/>
  <c r="G13" i="19"/>
  <c r="F13" i="19"/>
  <c r="G101" i="16"/>
  <c r="G100" i="16"/>
  <c r="F100" i="16"/>
  <c r="G99" i="16"/>
  <c r="F99" i="16"/>
  <c r="AE98" i="16"/>
  <c r="G98" i="16"/>
  <c r="F98" i="16"/>
  <c r="AE97" i="16"/>
  <c r="AD97" i="16"/>
  <c r="AC97" i="16"/>
  <c r="U97" i="16"/>
  <c r="G97" i="16"/>
  <c r="F97" i="16"/>
  <c r="AE96" i="16"/>
  <c r="AD96" i="16"/>
  <c r="M96" i="16"/>
  <c r="G96" i="16"/>
  <c r="F96" i="16"/>
  <c r="D96" i="16" s="1"/>
  <c r="AE95" i="16"/>
  <c r="AD95" i="16"/>
  <c r="AB95" i="16" s="1"/>
  <c r="T95" i="16"/>
  <c r="V95" i="16" s="1"/>
  <c r="G95" i="16"/>
  <c r="F95" i="16"/>
  <c r="AM58" i="16"/>
  <c r="W58" i="16"/>
  <c r="M58" i="16"/>
  <c r="L54" i="16" s="1"/>
  <c r="N54" i="16" s="1"/>
  <c r="E58" i="16"/>
  <c r="G58" i="16" s="1"/>
  <c r="AM57" i="16"/>
  <c r="AL57" i="16"/>
  <c r="AK57" i="16"/>
  <c r="AE57" i="16"/>
  <c r="W57" i="16"/>
  <c r="V57" i="16"/>
  <c r="M57" i="16"/>
  <c r="O57" i="16" s="1"/>
  <c r="D57" i="16"/>
  <c r="F57" i="16" s="1"/>
  <c r="AM56" i="16"/>
  <c r="AL56" i="16"/>
  <c r="AE56" i="16"/>
  <c r="AD56" i="16"/>
  <c r="AB56" i="16" s="1"/>
  <c r="W56" i="16"/>
  <c r="V56" i="16"/>
  <c r="T56" i="16" s="1"/>
  <c r="O56" i="16"/>
  <c r="N56" i="16"/>
  <c r="AM55" i="16"/>
  <c r="AL55" i="16"/>
  <c r="AE55" i="16"/>
  <c r="AD55" i="16"/>
  <c r="W55" i="16"/>
  <c r="V55" i="16"/>
  <c r="L55" i="16"/>
  <c r="N55" i="16" s="1"/>
  <c r="AM54" i="16"/>
  <c r="AL54" i="16"/>
  <c r="AJ54" i="16" s="1"/>
  <c r="AE54" i="16"/>
  <c r="AD54" i="16"/>
  <c r="W54" i="16"/>
  <c r="V54" i="16"/>
  <c r="AE18" i="16"/>
  <c r="AC18" i="16" s="1"/>
  <c r="AE17" i="16"/>
  <c r="AD17" i="16"/>
  <c r="AB17" i="16" s="1"/>
  <c r="W17" i="16"/>
  <c r="U17" i="16" s="1"/>
  <c r="O17" i="16"/>
  <c r="M17" i="16" s="1"/>
  <c r="G17" i="16"/>
  <c r="E17" i="16" s="1"/>
  <c r="AK16" i="16"/>
  <c r="AM16" i="16" s="1"/>
  <c r="AE16" i="16"/>
  <c r="AD16" i="16"/>
  <c r="AB16" i="16" s="1"/>
  <c r="W16" i="16"/>
  <c r="V16" i="16"/>
  <c r="O16" i="16"/>
  <c r="N16" i="16"/>
  <c r="G16" i="16"/>
  <c r="F16" i="16"/>
  <c r="AE15" i="16"/>
  <c r="AD15" i="16"/>
  <c r="W15" i="16"/>
  <c r="V15" i="16"/>
  <c r="O15" i="16"/>
  <c r="N15" i="16"/>
  <c r="G15" i="16"/>
  <c r="F15" i="16"/>
  <c r="AE14" i="16"/>
  <c r="AD14" i="16"/>
  <c r="W14" i="16"/>
  <c r="V14" i="16"/>
  <c r="T14" i="16" s="1"/>
  <c r="O14" i="16"/>
  <c r="N14" i="16"/>
  <c r="G14" i="16"/>
  <c r="F14" i="16"/>
  <c r="D14" i="16" s="1"/>
  <c r="AE13" i="16"/>
  <c r="AD13" i="16"/>
  <c r="W13" i="16"/>
  <c r="V13" i="16"/>
  <c r="O13" i="16"/>
  <c r="N13" i="16"/>
  <c r="L13" i="16"/>
  <c r="G13" i="16"/>
  <c r="F13" i="16"/>
  <c r="D13" i="16" s="1"/>
  <c r="D33" i="4"/>
  <c r="P33" i="4" s="1"/>
  <c r="D31" i="4"/>
  <c r="K31" i="4" s="1"/>
  <c r="D29" i="4"/>
  <c r="O29" i="4" s="1"/>
  <c r="V101" i="16" s="1"/>
  <c r="D27" i="4"/>
  <c r="P27" i="4" s="1"/>
  <c r="O100" i="16" s="1"/>
  <c r="D25" i="4"/>
  <c r="O25" i="4" s="1"/>
  <c r="F105" i="16" s="1"/>
  <c r="D23" i="4"/>
  <c r="P23" i="4" s="1"/>
  <c r="AM62" i="16" s="1"/>
  <c r="D21" i="4"/>
  <c r="O21" i="4" s="1"/>
  <c r="AD61" i="16" s="1"/>
  <c r="D19" i="4"/>
  <c r="P19" i="4" s="1"/>
  <c r="W62" i="16" s="1"/>
  <c r="D17" i="4"/>
  <c r="O17" i="4" s="1"/>
  <c r="N62" i="16" s="1"/>
  <c r="D15" i="4"/>
  <c r="P15" i="4" s="1"/>
  <c r="G62" i="16" s="1"/>
  <c r="D13" i="4"/>
  <c r="O13" i="4" s="1"/>
  <c r="AL20" i="16" s="1"/>
  <c r="D11" i="4"/>
  <c r="P11" i="4" s="1"/>
  <c r="AE22" i="16" s="1"/>
  <c r="D9" i="4"/>
  <c r="O9" i="4" s="1"/>
  <c r="V21" i="16" s="1"/>
  <c r="D7" i="4"/>
  <c r="P7" i="4" s="1"/>
  <c r="O21" i="16" s="1"/>
  <c r="D5" i="4"/>
  <c r="O5" i="4" s="1"/>
  <c r="F21" i="16" s="1"/>
  <c r="D51" i="3"/>
  <c r="P51" i="3" s="1"/>
  <c r="D49" i="3"/>
  <c r="D47" i="3"/>
  <c r="D45" i="3"/>
  <c r="P45" i="3" s="1"/>
  <c r="D43" i="3"/>
  <c r="O43" i="3" s="1"/>
  <c r="D41" i="3"/>
  <c r="D39" i="3"/>
  <c r="O39" i="3" s="1"/>
  <c r="AL111" i="15" s="1"/>
  <c r="D37" i="3"/>
  <c r="P37" i="3" s="1"/>
  <c r="AE110" i="15" s="1"/>
  <c r="D35" i="3"/>
  <c r="O35" i="3" s="1"/>
  <c r="V108" i="15" s="1"/>
  <c r="D33" i="3"/>
  <c r="P33" i="3" s="1"/>
  <c r="O109" i="15" s="1"/>
  <c r="D31" i="3"/>
  <c r="O31" i="3" s="1"/>
  <c r="F106" i="15" s="1"/>
  <c r="D29" i="3"/>
  <c r="P29" i="3" s="1"/>
  <c r="AM69" i="15" s="1"/>
  <c r="D27" i="3"/>
  <c r="O27" i="3" s="1"/>
  <c r="AD69" i="15" s="1"/>
  <c r="D25" i="3"/>
  <c r="D23" i="3"/>
  <c r="O23" i="3" s="1"/>
  <c r="N68" i="15" s="1"/>
  <c r="D21" i="3"/>
  <c r="P21" i="3" s="1"/>
  <c r="G69" i="15" s="1"/>
  <c r="D19" i="3"/>
  <c r="O19" i="3" s="1"/>
  <c r="AL29" i="15" s="1"/>
  <c r="D17" i="3"/>
  <c r="P17" i="3" s="1"/>
  <c r="AE27" i="15" s="1"/>
  <c r="D15" i="3"/>
  <c r="O15" i="3" s="1"/>
  <c r="V28" i="15" s="1"/>
  <c r="D13" i="3"/>
  <c r="P13" i="3" s="1"/>
  <c r="O27" i="15" s="1"/>
  <c r="D11" i="3"/>
  <c r="D9" i="3"/>
  <c r="D7" i="3"/>
  <c r="D5" i="3"/>
  <c r="P5" i="3" s="1"/>
  <c r="G23" i="15" s="1"/>
  <c r="G102" i="14"/>
  <c r="G101" i="14"/>
  <c r="F101" i="14"/>
  <c r="G100" i="14"/>
  <c r="F100" i="14"/>
  <c r="G99" i="14"/>
  <c r="F99" i="14"/>
  <c r="G98" i="14"/>
  <c r="F98" i="14"/>
  <c r="G97" i="14"/>
  <c r="F97" i="14"/>
  <c r="G96" i="14"/>
  <c r="G95" i="14"/>
  <c r="G64" i="14"/>
  <c r="AM63" i="14"/>
  <c r="AK63" i="14" s="1"/>
  <c r="O63" i="14"/>
  <c r="G63" i="14"/>
  <c r="F63" i="14"/>
  <c r="AM62" i="14"/>
  <c r="AL62" i="14"/>
  <c r="AE62" i="14"/>
  <c r="AC62" i="14" s="1"/>
  <c r="W62" i="14"/>
  <c r="O62" i="14"/>
  <c r="N62" i="14"/>
  <c r="G62" i="14"/>
  <c r="F62" i="14"/>
  <c r="AM61" i="14"/>
  <c r="AL61" i="14"/>
  <c r="AE61" i="14"/>
  <c r="AD61" i="14"/>
  <c r="W61" i="14"/>
  <c r="V61" i="14"/>
  <c r="O61" i="14"/>
  <c r="N61" i="14"/>
  <c r="G61" i="14"/>
  <c r="F61" i="14"/>
  <c r="AM60" i="14"/>
  <c r="AL60" i="14"/>
  <c r="AE60" i="14"/>
  <c r="AD60" i="14"/>
  <c r="AC60" i="14"/>
  <c r="W60" i="14"/>
  <c r="V60" i="14"/>
  <c r="O60" i="14"/>
  <c r="N60" i="14"/>
  <c r="G60" i="14"/>
  <c r="F60" i="14"/>
  <c r="E60" i="14"/>
  <c r="AM59" i="14"/>
  <c r="AL59" i="14"/>
  <c r="AE59" i="14"/>
  <c r="AD59" i="14"/>
  <c r="W59" i="14"/>
  <c r="V59" i="14"/>
  <c r="O59" i="14"/>
  <c r="N59" i="14"/>
  <c r="M59" i="14"/>
  <c r="G59" i="14"/>
  <c r="F59" i="14"/>
  <c r="AM58" i="14"/>
  <c r="AL58" i="14"/>
  <c r="AE58" i="14"/>
  <c r="W58" i="14"/>
  <c r="V58" i="14"/>
  <c r="O58" i="14"/>
  <c r="N58" i="14"/>
  <c r="G58" i="14"/>
  <c r="F58" i="14"/>
  <c r="AM57" i="14"/>
  <c r="AL57" i="14"/>
  <c r="AE57" i="14"/>
  <c r="AD57" i="14"/>
  <c r="W57" i="14"/>
  <c r="V57" i="14"/>
  <c r="O57" i="14"/>
  <c r="N57" i="14"/>
  <c r="G57" i="14"/>
  <c r="F57" i="14"/>
  <c r="AM56" i="14"/>
  <c r="AL56" i="14"/>
  <c r="AE56" i="14"/>
  <c r="AD56" i="14"/>
  <c r="AC56" i="14"/>
  <c r="W56" i="14"/>
  <c r="V56" i="14"/>
  <c r="O56" i="14"/>
  <c r="N56" i="14"/>
  <c r="G56" i="14"/>
  <c r="F56" i="14"/>
  <c r="AM55" i="14"/>
  <c r="AL55" i="14"/>
  <c r="AE55" i="14"/>
  <c r="AD55" i="14"/>
  <c r="W55" i="14"/>
  <c r="V55" i="14"/>
  <c r="O55" i="14"/>
  <c r="N55" i="14"/>
  <c r="G55" i="14"/>
  <c r="F55" i="14"/>
  <c r="D55" i="14" s="1"/>
  <c r="AM54" i="14"/>
  <c r="AL54" i="14"/>
  <c r="AE54" i="14"/>
  <c r="AD54" i="14"/>
  <c r="W54" i="14"/>
  <c r="V54" i="14"/>
  <c r="T54" i="14" s="1"/>
  <c r="O54" i="14"/>
  <c r="N54" i="14"/>
  <c r="L54" i="14" s="1"/>
  <c r="G54" i="14"/>
  <c r="F54" i="14"/>
  <c r="D54" i="14" s="1"/>
  <c r="G26" i="14"/>
  <c r="E26" i="14" s="1"/>
  <c r="G25" i="14"/>
  <c r="F25" i="14"/>
  <c r="G24" i="14"/>
  <c r="F24" i="14"/>
  <c r="O23" i="14"/>
  <c r="G23" i="14"/>
  <c r="F23" i="14"/>
  <c r="AM22" i="14"/>
  <c r="AK22" i="14" s="1"/>
  <c r="AE22" i="14"/>
  <c r="W22" i="14"/>
  <c r="U22" i="14" s="1"/>
  <c r="O22" i="14"/>
  <c r="N22" i="14"/>
  <c r="G22" i="14"/>
  <c r="F22" i="14"/>
  <c r="AM21" i="14"/>
  <c r="AL21" i="14"/>
  <c r="AE21" i="14"/>
  <c r="AD21" i="14"/>
  <c r="W21" i="14"/>
  <c r="V21" i="14"/>
  <c r="O21" i="14"/>
  <c r="N21" i="14"/>
  <c r="G21" i="14"/>
  <c r="F21" i="14"/>
  <c r="AM20" i="14"/>
  <c r="AL20" i="14"/>
  <c r="AE20" i="14"/>
  <c r="AD20" i="14"/>
  <c r="W20" i="14"/>
  <c r="V20" i="14"/>
  <c r="O20" i="14"/>
  <c r="N20" i="14"/>
  <c r="G20" i="14"/>
  <c r="F20" i="14"/>
  <c r="AM19" i="14"/>
  <c r="AL19" i="14"/>
  <c r="AE19" i="14"/>
  <c r="AD19" i="14"/>
  <c r="W19" i="14"/>
  <c r="V19" i="14"/>
  <c r="O19" i="14"/>
  <c r="N19" i="14"/>
  <c r="G19" i="14"/>
  <c r="F19" i="14"/>
  <c r="AM18" i="14"/>
  <c r="AL18" i="14"/>
  <c r="AE18" i="14"/>
  <c r="AD18" i="14"/>
  <c r="W18" i="14"/>
  <c r="V18" i="14"/>
  <c r="O18" i="14"/>
  <c r="N18" i="14"/>
  <c r="G18" i="14"/>
  <c r="F18" i="14"/>
  <c r="E18" i="14"/>
  <c r="AM17" i="14"/>
  <c r="AL17" i="14"/>
  <c r="AE17" i="14"/>
  <c r="AD17" i="14"/>
  <c r="W17" i="14"/>
  <c r="V17" i="14"/>
  <c r="O17" i="14"/>
  <c r="N17" i="14"/>
  <c r="L17" i="14" s="1"/>
  <c r="G17" i="14"/>
  <c r="F17" i="14"/>
  <c r="E17" i="14"/>
  <c r="AM16" i="14"/>
  <c r="AL16" i="14"/>
  <c r="AK16" i="14"/>
  <c r="AE16" i="14"/>
  <c r="AD16" i="14"/>
  <c r="AB16" i="14" s="1"/>
  <c r="W16" i="14"/>
  <c r="V16" i="14"/>
  <c r="U16" i="14"/>
  <c r="O16" i="14"/>
  <c r="N16" i="14"/>
  <c r="G16" i="14"/>
  <c r="F16" i="14"/>
  <c r="E16" i="14"/>
  <c r="AM15" i="14"/>
  <c r="AL15" i="14"/>
  <c r="AK15" i="14"/>
  <c r="AE15" i="14"/>
  <c r="AD15" i="14"/>
  <c r="W15" i="14"/>
  <c r="V15" i="14"/>
  <c r="U15" i="14"/>
  <c r="O15" i="14"/>
  <c r="N15" i="14"/>
  <c r="G15" i="14"/>
  <c r="F15" i="14"/>
  <c r="E15" i="14"/>
  <c r="AM14" i="14"/>
  <c r="AL14" i="14"/>
  <c r="AK14" i="14"/>
  <c r="AE14" i="14"/>
  <c r="AD14" i="14"/>
  <c r="W14" i="14"/>
  <c r="V14" i="14"/>
  <c r="U14" i="14"/>
  <c r="O14" i="14"/>
  <c r="N14" i="14"/>
  <c r="G14" i="14"/>
  <c r="F14" i="14"/>
  <c r="E14" i="14"/>
  <c r="AM13" i="14"/>
  <c r="AL13" i="14"/>
  <c r="AK13" i="14"/>
  <c r="AE13" i="14"/>
  <c r="AD13" i="14"/>
  <c r="W13" i="14"/>
  <c r="V13" i="14"/>
  <c r="T13" i="14"/>
  <c r="O13" i="14"/>
  <c r="N13" i="14"/>
  <c r="G13" i="14"/>
  <c r="F13" i="14"/>
  <c r="D13" i="14" s="1"/>
  <c r="D27" i="2"/>
  <c r="O27" i="2" s="1"/>
  <c r="N106" i="14" s="1"/>
  <c r="D25" i="2"/>
  <c r="P25" i="2" s="1"/>
  <c r="G106" i="14" s="1"/>
  <c r="D23" i="2"/>
  <c r="O23" i="2" s="1"/>
  <c r="AL67" i="14" s="1"/>
  <c r="D21" i="2"/>
  <c r="P21" i="2" s="1"/>
  <c r="AE66" i="14" s="1"/>
  <c r="D19" i="2"/>
  <c r="O19" i="2" s="1"/>
  <c r="V66" i="14" s="1"/>
  <c r="D17" i="2"/>
  <c r="P17" i="2" s="1"/>
  <c r="O67" i="14" s="1"/>
  <c r="D15" i="2"/>
  <c r="O15" i="2" s="1"/>
  <c r="F68" i="14" s="1"/>
  <c r="D13" i="2"/>
  <c r="P13" i="2" s="1"/>
  <c r="AM26" i="14" s="1"/>
  <c r="D11" i="2"/>
  <c r="O11" i="2" s="1"/>
  <c r="AD26" i="14" s="1"/>
  <c r="D9" i="2"/>
  <c r="P9" i="2" s="1"/>
  <c r="W26" i="14" s="1"/>
  <c r="D7" i="2"/>
  <c r="O7" i="2" s="1"/>
  <c r="N27" i="14" s="1"/>
  <c r="D5" i="2"/>
  <c r="P5" i="2" s="1"/>
  <c r="G30" i="14" s="1"/>
  <c r="E147" i="13"/>
  <c r="G147" i="13" s="1"/>
  <c r="E146" i="13"/>
  <c r="G146" i="13" s="1"/>
  <c r="D146" i="13"/>
  <c r="F146" i="13" s="1"/>
  <c r="E145" i="13"/>
  <c r="G145" i="13" s="1"/>
  <c r="D145" i="13"/>
  <c r="F145" i="13" s="1"/>
  <c r="E144" i="13"/>
  <c r="G144" i="13" s="1"/>
  <c r="D144" i="13"/>
  <c r="F144" i="13" s="1"/>
  <c r="E143" i="13"/>
  <c r="G143" i="13" s="1"/>
  <c r="D143" i="13"/>
  <c r="F143" i="13" s="1"/>
  <c r="E142" i="13"/>
  <c r="G142" i="13" s="1"/>
  <c r="D142" i="13"/>
  <c r="F142" i="13" s="1"/>
  <c r="E141" i="13"/>
  <c r="G141" i="13" s="1"/>
  <c r="D141" i="13"/>
  <c r="F141" i="13" s="1"/>
  <c r="E140" i="13"/>
  <c r="G140" i="13" s="1"/>
  <c r="D140" i="13"/>
  <c r="F140" i="13" s="1"/>
  <c r="E139" i="13"/>
  <c r="G139" i="13" s="1"/>
  <c r="D139" i="13"/>
  <c r="F139" i="13" s="1"/>
  <c r="O138" i="13"/>
  <c r="E138" i="13"/>
  <c r="G138" i="13" s="1"/>
  <c r="D138" i="13"/>
  <c r="F138" i="13" s="1"/>
  <c r="M137" i="13"/>
  <c r="O137" i="13" s="1"/>
  <c r="E137" i="13"/>
  <c r="G137" i="13" s="1"/>
  <c r="D137" i="13"/>
  <c r="F137" i="13" s="1"/>
  <c r="M136" i="13"/>
  <c r="O136" i="13" s="1"/>
  <c r="L136" i="13"/>
  <c r="N136" i="13" s="1"/>
  <c r="E136" i="13"/>
  <c r="G136" i="13" s="1"/>
  <c r="D136" i="13"/>
  <c r="F136" i="13" s="1"/>
  <c r="D110" i="13"/>
  <c r="C110" i="13"/>
  <c r="B110" i="13"/>
  <c r="K109" i="13"/>
  <c r="E106" i="13"/>
  <c r="E101" i="13" s="1"/>
  <c r="G101" i="13" s="1"/>
  <c r="M105" i="13"/>
  <c r="O105" i="13" s="1"/>
  <c r="G105" i="13"/>
  <c r="F105" i="13"/>
  <c r="O104" i="13"/>
  <c r="N104" i="13"/>
  <c r="E104" i="13"/>
  <c r="G104" i="13" s="1"/>
  <c r="O103" i="13"/>
  <c r="E103" i="13"/>
  <c r="G103" i="13" s="1"/>
  <c r="O102" i="13"/>
  <c r="N102" i="13"/>
  <c r="O101" i="13"/>
  <c r="N101" i="13"/>
  <c r="AC100" i="13"/>
  <c r="AE100" i="13" s="1"/>
  <c r="O100" i="13"/>
  <c r="N100" i="13"/>
  <c r="AM99" i="13"/>
  <c r="AC99" i="13"/>
  <c r="AE99" i="13" s="1"/>
  <c r="AB99" i="13"/>
  <c r="AD99" i="13" s="1"/>
  <c r="AK98" i="13"/>
  <c r="AM98" i="13" s="1"/>
  <c r="AJ98" i="13"/>
  <c r="AL98" i="13" s="1"/>
  <c r="AC98" i="13"/>
  <c r="AE98" i="13" s="1"/>
  <c r="U98" i="13"/>
  <c r="W98" i="13" s="1"/>
  <c r="O98" i="13"/>
  <c r="N98" i="13"/>
  <c r="G98" i="13"/>
  <c r="AM97" i="13"/>
  <c r="AE97" i="13"/>
  <c r="U97" i="13"/>
  <c r="W97" i="13" s="1"/>
  <c r="T97" i="13"/>
  <c r="V97" i="13" s="1"/>
  <c r="O97" i="13"/>
  <c r="N97" i="13"/>
  <c r="AK96" i="13"/>
  <c r="AM96" i="13" s="1"/>
  <c r="AJ96" i="13"/>
  <c r="AL96" i="13" s="1"/>
  <c r="AC96" i="13"/>
  <c r="AE96" i="13" s="1"/>
  <c r="AB96" i="13"/>
  <c r="AD96" i="13" s="1"/>
  <c r="O96" i="13"/>
  <c r="N96" i="13"/>
  <c r="E96" i="13"/>
  <c r="G96" i="13" s="1"/>
  <c r="AK95" i="13"/>
  <c r="AM95" i="13" s="1"/>
  <c r="AJ95" i="13"/>
  <c r="AL95" i="13" s="1"/>
  <c r="AC95" i="13"/>
  <c r="AE95" i="13" s="1"/>
  <c r="AB95" i="13"/>
  <c r="AD95" i="13" s="1"/>
  <c r="U95" i="13"/>
  <c r="U96" i="13" s="1"/>
  <c r="W96" i="13" s="1"/>
  <c r="T95" i="13"/>
  <c r="V95" i="13" s="1"/>
  <c r="O95" i="13"/>
  <c r="N95" i="13"/>
  <c r="M66" i="13"/>
  <c r="O66" i="13" s="1"/>
  <c r="E66" i="13"/>
  <c r="AK65" i="13"/>
  <c r="AM65" i="13" s="1"/>
  <c r="G65" i="13"/>
  <c r="F65" i="13"/>
  <c r="G64" i="13"/>
  <c r="G63" i="13"/>
  <c r="G62" i="13"/>
  <c r="F62" i="13"/>
  <c r="AC61" i="13"/>
  <c r="AE61" i="13" s="1"/>
  <c r="G61" i="13"/>
  <c r="F61" i="13"/>
  <c r="AE60" i="13"/>
  <c r="AD60" i="13"/>
  <c r="G60" i="13"/>
  <c r="F60" i="13"/>
  <c r="AJ59" i="13"/>
  <c r="AL59" i="13" s="1"/>
  <c r="AE58" i="13"/>
  <c r="AD58" i="13"/>
  <c r="AE57" i="13"/>
  <c r="G57" i="13"/>
  <c r="F57" i="13"/>
  <c r="AE56" i="13"/>
  <c r="AD56" i="13"/>
  <c r="U56" i="13"/>
  <c r="W56" i="13" s="1"/>
  <c r="G56" i="13"/>
  <c r="F56" i="13"/>
  <c r="AE55" i="13"/>
  <c r="AD55" i="13"/>
  <c r="W55" i="13"/>
  <c r="V55" i="13"/>
  <c r="G55" i="13"/>
  <c r="F55" i="13"/>
  <c r="AE54" i="13"/>
  <c r="W54" i="13"/>
  <c r="G54" i="13"/>
  <c r="F54" i="13"/>
  <c r="AC21" i="13"/>
  <c r="AC13" i="13" s="1"/>
  <c r="AE13" i="13" s="1"/>
  <c r="AM20" i="13"/>
  <c r="AE20" i="13"/>
  <c r="AD20" i="13"/>
  <c r="U20" i="13"/>
  <c r="W20" i="13" s="1"/>
  <c r="M20" i="13"/>
  <c r="O20" i="13" s="1"/>
  <c r="AM19" i="13"/>
  <c r="AL19" i="13"/>
  <c r="AE19" i="13"/>
  <c r="AD19" i="13"/>
  <c r="W19" i="13"/>
  <c r="V19" i="13"/>
  <c r="AM18" i="13"/>
  <c r="AL18" i="13"/>
  <c r="E17" i="13"/>
  <c r="G17" i="13" s="1"/>
  <c r="AM16" i="13"/>
  <c r="AL16" i="13"/>
  <c r="G16" i="13"/>
  <c r="D16" i="13"/>
  <c r="F16" i="13" s="1"/>
  <c r="AK15" i="13"/>
  <c r="AM15" i="13" s="1"/>
  <c r="AJ15" i="13"/>
  <c r="AL15" i="13" s="1"/>
  <c r="M15" i="13"/>
  <c r="O15" i="13" s="1"/>
  <c r="G15" i="13"/>
  <c r="AM14" i="13"/>
  <c r="AL14" i="13"/>
  <c r="L14" i="13"/>
  <c r="N14" i="13" s="1"/>
  <c r="E14" i="13"/>
  <c r="G14" i="13" s="1"/>
  <c r="D14" i="13"/>
  <c r="F14" i="13" s="1"/>
  <c r="AM13" i="13"/>
  <c r="AL13" i="13"/>
  <c r="E13" i="13"/>
  <c r="G13" i="13" s="1"/>
  <c r="D13" i="13"/>
  <c r="F13" i="13" s="1"/>
  <c r="D39" i="1"/>
  <c r="D37" i="1"/>
  <c r="P37" i="1" s="1"/>
  <c r="G155" i="13" s="1"/>
  <c r="D35" i="1"/>
  <c r="O35" i="1" s="1"/>
  <c r="AL103" i="13" s="1"/>
  <c r="D33" i="1"/>
  <c r="P33" i="1" s="1"/>
  <c r="AE104" i="13" s="1"/>
  <c r="D31" i="1"/>
  <c r="O31" i="1" s="1"/>
  <c r="V102" i="13" s="1"/>
  <c r="D29" i="1"/>
  <c r="P29" i="1" s="1"/>
  <c r="O109" i="13" s="1"/>
  <c r="D27" i="1"/>
  <c r="P27" i="1" s="1"/>
  <c r="G110" i="13" s="1"/>
  <c r="D25" i="1"/>
  <c r="P25" i="1" s="1"/>
  <c r="AM69" i="13" s="1"/>
  <c r="D23" i="1"/>
  <c r="O23" i="1" s="1"/>
  <c r="AD65" i="13" s="1"/>
  <c r="D21" i="1"/>
  <c r="P21" i="1" s="1"/>
  <c r="W60" i="13" s="1"/>
  <c r="D19" i="1"/>
  <c r="O19" i="1" s="1"/>
  <c r="N70" i="13" s="1"/>
  <c r="D17" i="1"/>
  <c r="P17" i="1" s="1"/>
  <c r="D15" i="1"/>
  <c r="O15" i="1" s="1"/>
  <c r="D13" i="1"/>
  <c r="P13" i="1" s="1"/>
  <c r="AE25" i="13" s="1"/>
  <c r="D11" i="1"/>
  <c r="O11" i="1" s="1"/>
  <c r="V24" i="13" s="1"/>
  <c r="D9" i="1"/>
  <c r="P9" i="1" s="1"/>
  <c r="O24" i="13" s="1"/>
  <c r="D7" i="1"/>
  <c r="O7" i="1" s="1"/>
  <c r="F21" i="13" s="1"/>
  <c r="D5" i="1"/>
  <c r="P5" i="1" s="1"/>
  <c r="G25" i="13" s="1"/>
  <c r="AA193" i="12"/>
  <c r="T192" i="12"/>
  <c r="S192" i="12"/>
  <c r="AN191" i="12"/>
  <c r="AM191" i="12"/>
  <c r="AL191" i="12"/>
  <c r="AK191" i="12"/>
  <c r="AJ191" i="12"/>
  <c r="AI191" i="12"/>
  <c r="AH191" i="12"/>
  <c r="AG191" i="12"/>
  <c r="AC189" i="12"/>
  <c r="AE188" i="12"/>
  <c r="AD188" i="12"/>
  <c r="U188" i="12"/>
  <c r="W188" i="12" s="1"/>
  <c r="M188" i="12"/>
  <c r="O188" i="12" s="1"/>
  <c r="U187" i="12"/>
  <c r="W187" i="12" s="1"/>
  <c r="O187" i="12"/>
  <c r="O186" i="12"/>
  <c r="O185" i="12"/>
  <c r="O184" i="12"/>
  <c r="E184" i="12"/>
  <c r="G184" i="12" s="1"/>
  <c r="T183" i="12"/>
  <c r="V183" i="12" s="1"/>
  <c r="M183" i="12"/>
  <c r="O183" i="12" s="1"/>
  <c r="L183" i="12"/>
  <c r="N183" i="12" s="1"/>
  <c r="G183" i="12"/>
  <c r="O182" i="12"/>
  <c r="N182" i="12"/>
  <c r="G182" i="12"/>
  <c r="AM181" i="12"/>
  <c r="AL181" i="12"/>
  <c r="N181" i="12"/>
  <c r="M181" i="12"/>
  <c r="O181" i="12" s="1"/>
  <c r="G181" i="12"/>
  <c r="AM180" i="12"/>
  <c r="AL180" i="12"/>
  <c r="T180" i="12"/>
  <c r="V180" i="12" s="1"/>
  <c r="O180" i="12"/>
  <c r="L180" i="12"/>
  <c r="N180" i="12" s="1"/>
  <c r="G180" i="12"/>
  <c r="AM179" i="12"/>
  <c r="AL179" i="12"/>
  <c r="T179" i="12"/>
  <c r="V179" i="12" s="1"/>
  <c r="M179" i="12"/>
  <c r="O179" i="12" s="1"/>
  <c r="L179" i="12"/>
  <c r="N179" i="12" s="1"/>
  <c r="AM178" i="12"/>
  <c r="AL178" i="12"/>
  <c r="O178" i="12"/>
  <c r="F178" i="12"/>
  <c r="D153" i="12"/>
  <c r="C153" i="12"/>
  <c r="B153" i="12"/>
  <c r="A153" i="12"/>
  <c r="U151" i="12"/>
  <c r="W151" i="12" s="1"/>
  <c r="W150" i="12"/>
  <c r="V150" i="12"/>
  <c r="W149" i="12"/>
  <c r="E149" i="12"/>
  <c r="D144" i="12" s="1"/>
  <c r="F144" i="12" s="1"/>
  <c r="U148" i="12"/>
  <c r="W148" i="12" s="1"/>
  <c r="E148" i="12"/>
  <c r="G148" i="12" s="1"/>
  <c r="AK147" i="12"/>
  <c r="AJ140" i="12" s="1"/>
  <c r="AL140" i="12" s="1"/>
  <c r="U147" i="12"/>
  <c r="W147" i="12" s="1"/>
  <c r="T147" i="12"/>
  <c r="V147" i="12" s="1"/>
  <c r="E147" i="12"/>
  <c r="G147" i="12" s="1"/>
  <c r="AK146" i="12"/>
  <c r="AM146" i="12" s="1"/>
  <c r="U146" i="12"/>
  <c r="W146" i="12" s="1"/>
  <c r="T146" i="12"/>
  <c r="V146" i="12" s="1"/>
  <c r="M146" i="12"/>
  <c r="M145" i="12" s="1"/>
  <c r="O145" i="12" s="1"/>
  <c r="AJ145" i="12"/>
  <c r="AL145" i="12" s="1"/>
  <c r="U145" i="12"/>
  <c r="W145" i="12" s="1"/>
  <c r="AJ144" i="12"/>
  <c r="AL144" i="12" s="1"/>
  <c r="AC144" i="12"/>
  <c r="AE144" i="12" s="1"/>
  <c r="U144" i="12"/>
  <c r="W144" i="12" s="1"/>
  <c r="T144" i="12"/>
  <c r="V144" i="12" s="1"/>
  <c r="AE143" i="12"/>
  <c r="AD143" i="12"/>
  <c r="U143" i="12"/>
  <c r="W143" i="12" s="1"/>
  <c r="T143" i="12"/>
  <c r="V143" i="12" s="1"/>
  <c r="AJ142" i="12"/>
  <c r="AL142" i="12" s="1"/>
  <c r="AE142" i="12"/>
  <c r="U142" i="12"/>
  <c r="W142" i="12" s="1"/>
  <c r="AE141" i="12"/>
  <c r="W141" i="12"/>
  <c r="V141" i="12"/>
  <c r="AE140" i="12"/>
  <c r="W140" i="12"/>
  <c r="AE139" i="12"/>
  <c r="AD139" i="12"/>
  <c r="W139" i="12"/>
  <c r="V139" i="12"/>
  <c r="AE138" i="12"/>
  <c r="AD138" i="12"/>
  <c r="W138" i="12"/>
  <c r="V138" i="12"/>
  <c r="AE137" i="12"/>
  <c r="AD137" i="12"/>
  <c r="W137" i="12"/>
  <c r="V137" i="12"/>
  <c r="AJ113" i="12"/>
  <c r="AI113" i="12"/>
  <c r="AH113" i="12"/>
  <c r="AG113" i="12"/>
  <c r="AK109" i="12"/>
  <c r="AK103" i="12" s="1"/>
  <c r="AM103" i="12" s="1"/>
  <c r="AB109" i="12"/>
  <c r="AA109" i="12"/>
  <c r="Z109" i="12"/>
  <c r="Y109" i="12"/>
  <c r="AM108" i="12"/>
  <c r="AL108" i="12"/>
  <c r="E106" i="12"/>
  <c r="G106" i="12" s="1"/>
  <c r="AC105" i="12"/>
  <c r="G105" i="12"/>
  <c r="AK104" i="12"/>
  <c r="AM104" i="12" s="1"/>
  <c r="U104" i="12"/>
  <c r="G104" i="12"/>
  <c r="W103" i="12"/>
  <c r="V103" i="12"/>
  <c r="M103" i="12"/>
  <c r="L97" i="12" s="1"/>
  <c r="N97" i="12" s="1"/>
  <c r="G103" i="12"/>
  <c r="W102" i="12"/>
  <c r="G102" i="12"/>
  <c r="E101" i="12"/>
  <c r="G101" i="12" s="1"/>
  <c r="E100" i="12"/>
  <c r="G100" i="12" s="1"/>
  <c r="D100" i="12"/>
  <c r="F100" i="12" s="1"/>
  <c r="E99" i="12"/>
  <c r="G99" i="12" s="1"/>
  <c r="D99" i="12"/>
  <c r="F99" i="12" s="1"/>
  <c r="AK98" i="12"/>
  <c r="AM98" i="12" s="1"/>
  <c r="E98" i="12"/>
  <c r="G98" i="12" s="1"/>
  <c r="D98" i="12"/>
  <c r="F98" i="12" s="1"/>
  <c r="T97" i="12"/>
  <c r="V97" i="12" s="1"/>
  <c r="E97" i="12"/>
  <c r="G97" i="12" s="1"/>
  <c r="D97" i="12"/>
  <c r="F97" i="12" s="1"/>
  <c r="E96" i="12"/>
  <c r="G96" i="12" s="1"/>
  <c r="D96" i="12"/>
  <c r="F96" i="12" s="1"/>
  <c r="U64" i="12"/>
  <c r="W64" i="12" s="1"/>
  <c r="W63" i="12"/>
  <c r="E63" i="12"/>
  <c r="G63" i="12" s="1"/>
  <c r="AC62" i="12"/>
  <c r="AC61" i="12" s="1"/>
  <c r="AE61" i="12" s="1"/>
  <c r="W62" i="12"/>
  <c r="AK61" i="12"/>
  <c r="AK59" i="12" s="1"/>
  <c r="AM59" i="12" s="1"/>
  <c r="W61" i="12"/>
  <c r="V61" i="12"/>
  <c r="M61" i="12"/>
  <c r="L57" i="12" s="1"/>
  <c r="N57" i="12" s="1"/>
  <c r="AC60" i="12"/>
  <c r="AE60" i="12" s="1"/>
  <c r="W60" i="12"/>
  <c r="V60" i="12"/>
  <c r="W59" i="12"/>
  <c r="V59" i="12"/>
  <c r="M59" i="12"/>
  <c r="O59" i="12" s="1"/>
  <c r="W58" i="12"/>
  <c r="V58" i="12"/>
  <c r="AK57" i="12"/>
  <c r="AM57" i="12" s="1"/>
  <c r="W57" i="12"/>
  <c r="V57" i="12"/>
  <c r="E57" i="12"/>
  <c r="G57" i="12" s="1"/>
  <c r="AJ56" i="12"/>
  <c r="AL56" i="12" s="1"/>
  <c r="W56" i="12"/>
  <c r="V56" i="12"/>
  <c r="M56" i="12"/>
  <c r="O56" i="12" s="1"/>
  <c r="U55" i="12"/>
  <c r="W55" i="12" s="1"/>
  <c r="T55" i="12"/>
  <c r="V55" i="12" s="1"/>
  <c r="E29" i="12"/>
  <c r="G29" i="12" s="1"/>
  <c r="G26" i="12"/>
  <c r="F26" i="12"/>
  <c r="AK25" i="12"/>
  <c r="AM25" i="12" s="1"/>
  <c r="AM24" i="12"/>
  <c r="AL24" i="12"/>
  <c r="AM23" i="12"/>
  <c r="AL23" i="12"/>
  <c r="D23" i="12"/>
  <c r="F23" i="12" s="1"/>
  <c r="U22" i="12"/>
  <c r="W22" i="12" s="1"/>
  <c r="AM21" i="12"/>
  <c r="AL21" i="12"/>
  <c r="U21" i="12"/>
  <c r="W21" i="12" s="1"/>
  <c r="T21" i="12"/>
  <c r="V21" i="12" s="1"/>
  <c r="U20" i="12"/>
  <c r="W20" i="12" s="1"/>
  <c r="T20" i="12"/>
  <c r="V20" i="12" s="1"/>
  <c r="AB19" i="12"/>
  <c r="AA19" i="12"/>
  <c r="Z19" i="12"/>
  <c r="Y19" i="12"/>
  <c r="G19" i="12"/>
  <c r="F19" i="12"/>
  <c r="M18" i="12"/>
  <c r="O18" i="12" s="1"/>
  <c r="W17" i="12"/>
  <c r="M16" i="12"/>
  <c r="O16" i="12" s="1"/>
  <c r="AC15" i="12"/>
  <c r="AE15" i="12" s="1"/>
  <c r="W15" i="12"/>
  <c r="V15" i="12"/>
  <c r="W14" i="12"/>
  <c r="V14" i="12"/>
  <c r="W13" i="12"/>
  <c r="V13" i="12"/>
  <c r="M13" i="12"/>
  <c r="O13" i="12" s="1"/>
  <c r="F13" i="12"/>
  <c r="D53" i="5"/>
  <c r="O53" i="5" s="1"/>
  <c r="AD193" i="12" s="1"/>
  <c r="D51" i="5"/>
  <c r="P51" i="5" s="1"/>
  <c r="W192" i="12" s="1"/>
  <c r="D49" i="5"/>
  <c r="O49" i="5" s="1"/>
  <c r="N192" i="12" s="1"/>
  <c r="D47" i="5"/>
  <c r="P47" i="5" s="1"/>
  <c r="G188" i="12" s="1"/>
  <c r="D45" i="5"/>
  <c r="O45" i="5" s="1"/>
  <c r="AL151" i="12" s="1"/>
  <c r="D43" i="5"/>
  <c r="P43" i="5" s="1"/>
  <c r="AE148" i="12" s="1"/>
  <c r="D41" i="5"/>
  <c r="O41" i="5" s="1"/>
  <c r="V159" i="12" s="1"/>
  <c r="D39" i="5"/>
  <c r="P39" i="5" s="1"/>
  <c r="W155" i="12" s="1"/>
  <c r="D37" i="5"/>
  <c r="O37" i="5" s="1"/>
  <c r="N150" i="12" s="1"/>
  <c r="D35" i="5"/>
  <c r="P35" i="5" s="1"/>
  <c r="G153" i="12" s="1"/>
  <c r="D33" i="5"/>
  <c r="O33" i="5" s="1"/>
  <c r="AL113" i="12" s="1"/>
  <c r="D31" i="5"/>
  <c r="P31" i="5" s="1"/>
  <c r="AE109" i="12" s="1"/>
  <c r="D29" i="5"/>
  <c r="O29" i="5" s="1"/>
  <c r="V108" i="12" s="1"/>
  <c r="D27" i="5"/>
  <c r="P27" i="5" s="1"/>
  <c r="O107" i="12" s="1"/>
  <c r="D25" i="5"/>
  <c r="O25" i="5" s="1"/>
  <c r="F110" i="12" s="1"/>
  <c r="D23" i="5"/>
  <c r="P23" i="5" s="1"/>
  <c r="AM65" i="12" s="1"/>
  <c r="D21" i="5"/>
  <c r="O21" i="5" s="1"/>
  <c r="AD66" i="12" s="1"/>
  <c r="D19" i="5"/>
  <c r="P19" i="5" s="1"/>
  <c r="W68" i="12" s="1"/>
  <c r="D17" i="5"/>
  <c r="O17" i="5" s="1"/>
  <c r="N65" i="12" s="1"/>
  <c r="D15" i="5"/>
  <c r="P15" i="5" s="1"/>
  <c r="G67" i="12" s="1"/>
  <c r="D13" i="5"/>
  <c r="O13" i="5" s="1"/>
  <c r="AL29" i="12" s="1"/>
  <c r="D11" i="5"/>
  <c r="P11" i="5" s="1"/>
  <c r="AE19" i="12" s="1"/>
  <c r="D9" i="5"/>
  <c r="O9" i="5" s="1"/>
  <c r="V26" i="12" s="1"/>
  <c r="D7" i="5"/>
  <c r="P7" i="5" s="1"/>
  <c r="O22" i="12" s="1"/>
  <c r="D5" i="5"/>
  <c r="O5" i="5" s="1"/>
  <c r="F33" i="12" s="1"/>
  <c r="M262" i="11"/>
  <c r="O262" i="11" s="1"/>
  <c r="E262" i="11"/>
  <c r="U261" i="11"/>
  <c r="W261" i="11" s="1"/>
  <c r="E261" i="11"/>
  <c r="D261" i="11"/>
  <c r="E260" i="11"/>
  <c r="D260" i="11"/>
  <c r="E259" i="11"/>
  <c r="D259" i="11"/>
  <c r="E226" i="11"/>
  <c r="E225" i="11"/>
  <c r="D225" i="11"/>
  <c r="E224" i="11"/>
  <c r="D224" i="11"/>
  <c r="AC223" i="11"/>
  <c r="E223" i="11"/>
  <c r="D223" i="11"/>
  <c r="AC222" i="11"/>
  <c r="AB222" i="11"/>
  <c r="E222" i="11"/>
  <c r="D222" i="11"/>
  <c r="AC221" i="11"/>
  <c r="AB221" i="11"/>
  <c r="E221" i="11"/>
  <c r="D221" i="11"/>
  <c r="AC220" i="11"/>
  <c r="AB220" i="11"/>
  <c r="M220" i="11"/>
  <c r="O220" i="11" s="1"/>
  <c r="E220" i="11"/>
  <c r="AC219" i="11"/>
  <c r="AB219" i="11"/>
  <c r="V219" i="11"/>
  <c r="U219" i="11"/>
  <c r="W219" i="11" s="1"/>
  <c r="O219" i="11"/>
  <c r="N219" i="11"/>
  <c r="E219" i="11"/>
  <c r="AB218" i="11"/>
  <c r="V218" i="11"/>
  <c r="U218" i="11"/>
  <c r="W218" i="11" s="1"/>
  <c r="O218" i="11"/>
  <c r="N218" i="11"/>
  <c r="E218" i="11"/>
  <c r="M182" i="11"/>
  <c r="E182" i="11"/>
  <c r="G182" i="11" s="1"/>
  <c r="AK181" i="11"/>
  <c r="M181" i="11"/>
  <c r="L181" i="11"/>
  <c r="E181" i="11"/>
  <c r="G181" i="11" s="1"/>
  <c r="D181" i="11"/>
  <c r="F181" i="11" s="1"/>
  <c r="AK180" i="11"/>
  <c r="AJ180" i="11"/>
  <c r="AC180" i="11"/>
  <c r="U180" i="11"/>
  <c r="M180" i="11"/>
  <c r="L180" i="11"/>
  <c r="E180" i="11"/>
  <c r="G180" i="11" s="1"/>
  <c r="D180" i="11"/>
  <c r="F180" i="11" s="1"/>
  <c r="AK179" i="11"/>
  <c r="AJ179" i="11"/>
  <c r="AC179" i="11"/>
  <c r="AB179" i="11"/>
  <c r="U179" i="11"/>
  <c r="T179" i="11"/>
  <c r="M179" i="11"/>
  <c r="L179" i="11"/>
  <c r="E179" i="11"/>
  <c r="G179" i="11" s="1"/>
  <c r="D179" i="11"/>
  <c r="F179" i="11" s="1"/>
  <c r="AK178" i="11"/>
  <c r="AJ178" i="11"/>
  <c r="AC178" i="11"/>
  <c r="AB178" i="11"/>
  <c r="U178" i="11"/>
  <c r="T178" i="11"/>
  <c r="M178" i="11"/>
  <c r="L178" i="11"/>
  <c r="E178" i="11"/>
  <c r="G178" i="11" s="1"/>
  <c r="D178" i="11"/>
  <c r="F178" i="11" s="1"/>
  <c r="AK177" i="11"/>
  <c r="AJ177" i="11"/>
  <c r="AB177" i="11"/>
  <c r="U177" i="11"/>
  <c r="T177" i="11"/>
  <c r="N177" i="11"/>
  <c r="M177" i="11"/>
  <c r="L177" i="11"/>
  <c r="F177" i="11"/>
  <c r="E177" i="11"/>
  <c r="G177" i="11" s="1"/>
  <c r="U144" i="11"/>
  <c r="U143" i="11"/>
  <c r="T143" i="11"/>
  <c r="U142" i="11"/>
  <c r="T142" i="11"/>
  <c r="M142" i="11"/>
  <c r="AK141" i="11"/>
  <c r="U141" i="11"/>
  <c r="T141" i="11"/>
  <c r="M141" i="11"/>
  <c r="L141" i="11"/>
  <c r="E141" i="11"/>
  <c r="G141" i="11" s="1"/>
  <c r="AK140" i="11"/>
  <c r="AJ140" i="11"/>
  <c r="U140" i="11"/>
  <c r="T140" i="11"/>
  <c r="M140" i="11"/>
  <c r="E140" i="11"/>
  <c r="G140" i="11" s="1"/>
  <c r="D140" i="11"/>
  <c r="F140" i="11" s="1"/>
  <c r="AK139" i="11"/>
  <c r="AJ139" i="11"/>
  <c r="U139" i="11"/>
  <c r="T139" i="11"/>
  <c r="M139" i="11"/>
  <c r="L139" i="11"/>
  <c r="E139" i="11"/>
  <c r="G139" i="11" s="1"/>
  <c r="D139" i="11"/>
  <c r="F139" i="11" s="1"/>
  <c r="AK138" i="11"/>
  <c r="AJ138" i="11"/>
  <c r="AC138" i="11"/>
  <c r="U138" i="11"/>
  <c r="T138" i="11"/>
  <c r="M138" i="11"/>
  <c r="L138" i="11"/>
  <c r="E138" i="11"/>
  <c r="G138" i="11" s="1"/>
  <c r="D138" i="11"/>
  <c r="F138" i="11" s="1"/>
  <c r="AK137" i="11"/>
  <c r="AJ137" i="11"/>
  <c r="U137" i="11"/>
  <c r="M137" i="11"/>
  <c r="L137" i="11"/>
  <c r="E137" i="11"/>
  <c r="G137" i="11" s="1"/>
  <c r="D137" i="11"/>
  <c r="F137" i="11" s="1"/>
  <c r="AK136" i="11"/>
  <c r="AJ136" i="11"/>
  <c r="U136" i="11"/>
  <c r="T136" i="11"/>
  <c r="M136" i="11"/>
  <c r="L136" i="11"/>
  <c r="E136" i="11"/>
  <c r="G136" i="11" s="1"/>
  <c r="D136" i="11"/>
  <c r="F136" i="11" s="1"/>
  <c r="U102" i="11"/>
  <c r="U101" i="11"/>
  <c r="T101" i="11"/>
  <c r="AK100" i="11"/>
  <c r="AC100" i="11"/>
  <c r="U100" i="11"/>
  <c r="T100" i="11"/>
  <c r="M100" i="11"/>
  <c r="L100" i="11"/>
  <c r="E100" i="11"/>
  <c r="AK99" i="11"/>
  <c r="AJ99" i="11"/>
  <c r="AC99" i="11"/>
  <c r="AB99" i="11"/>
  <c r="U99" i="11"/>
  <c r="T99" i="11"/>
  <c r="M99" i="11"/>
  <c r="E99" i="11"/>
  <c r="D99" i="11"/>
  <c r="AK98" i="11"/>
  <c r="AC98" i="11"/>
  <c r="AB98" i="11"/>
  <c r="U98" i="11"/>
  <c r="T98" i="11"/>
  <c r="M98" i="11"/>
  <c r="E98" i="11"/>
  <c r="D98" i="11"/>
  <c r="AK97" i="11"/>
  <c r="AJ97" i="11"/>
  <c r="AC97" i="11"/>
  <c r="AB97" i="11"/>
  <c r="U97" i="11"/>
  <c r="T97" i="11"/>
  <c r="M97" i="11"/>
  <c r="L97" i="11"/>
  <c r="E97" i="11"/>
  <c r="D97" i="11"/>
  <c r="AK96" i="11"/>
  <c r="AJ96" i="11"/>
  <c r="AC96" i="11"/>
  <c r="AB96" i="11"/>
  <c r="U96" i="11"/>
  <c r="T96" i="11"/>
  <c r="M96" i="11"/>
  <c r="L96" i="11"/>
  <c r="E96" i="11"/>
  <c r="D96" i="11"/>
  <c r="AK95" i="11"/>
  <c r="AJ95" i="11"/>
  <c r="AC95" i="11"/>
  <c r="AB95" i="11"/>
  <c r="U95" i="11"/>
  <c r="M95" i="11"/>
  <c r="E95" i="11"/>
  <c r="D95" i="11"/>
  <c r="AK59" i="11"/>
  <c r="AK58" i="11"/>
  <c r="AJ58" i="11"/>
  <c r="AC58" i="11"/>
  <c r="U58" i="11"/>
  <c r="AK57" i="11"/>
  <c r="AJ57" i="11"/>
  <c r="AC57" i="11"/>
  <c r="AB57" i="11"/>
  <c r="U57" i="11"/>
  <c r="T57" i="11"/>
  <c r="AK56" i="11"/>
  <c r="AJ56" i="11"/>
  <c r="AC56" i="11"/>
  <c r="AB56" i="11"/>
  <c r="U56" i="11"/>
  <c r="T56" i="11"/>
  <c r="M56" i="11"/>
  <c r="AK55" i="11"/>
  <c r="AJ55" i="11"/>
  <c r="AC55" i="11"/>
  <c r="AB55" i="11"/>
  <c r="U55" i="11"/>
  <c r="T55" i="11"/>
  <c r="M55" i="11"/>
  <c r="L55" i="11"/>
  <c r="E55" i="11"/>
  <c r="G55" i="11" s="1"/>
  <c r="AK54" i="11"/>
  <c r="AJ54" i="11"/>
  <c r="AC54" i="11"/>
  <c r="AB54" i="11"/>
  <c r="U54" i="11"/>
  <c r="T54" i="11"/>
  <c r="M54" i="11"/>
  <c r="L54" i="11"/>
  <c r="I19" i="11"/>
  <c r="U16" i="11"/>
  <c r="W16" i="11" s="1"/>
  <c r="E16" i="11"/>
  <c r="G16" i="11" s="1"/>
  <c r="U15" i="11"/>
  <c r="W15" i="11" s="1"/>
  <c r="M15" i="11"/>
  <c r="O15" i="11" s="1"/>
  <c r="AK14" i="11"/>
  <c r="AM14" i="11" s="1"/>
  <c r="AC14" i="11"/>
  <c r="AE14" i="11" s="1"/>
  <c r="U14" i="11"/>
  <c r="W14" i="11" s="1"/>
  <c r="D14" i="11"/>
  <c r="F14" i="11" s="1"/>
  <c r="D81" i="6"/>
  <c r="O81" i="6" s="1"/>
  <c r="D79" i="6"/>
  <c r="P79" i="6" s="1"/>
  <c r="W269" i="11" s="1"/>
  <c r="D77" i="6"/>
  <c r="O77" i="6" s="1"/>
  <c r="V265" i="11" s="1"/>
  <c r="D75" i="6"/>
  <c r="P75" i="6" s="1"/>
  <c r="D73" i="6"/>
  <c r="O73" i="6" s="1"/>
  <c r="N266" i="11" s="1"/>
  <c r="D71" i="6"/>
  <c r="P71" i="6" s="1"/>
  <c r="O274" i="11" s="1"/>
  <c r="D69" i="6"/>
  <c r="J69" i="6" s="1"/>
  <c r="H270" i="11" s="1"/>
  <c r="D67" i="6"/>
  <c r="P67" i="6" s="1"/>
  <c r="G266" i="11" s="1"/>
  <c r="D65" i="6"/>
  <c r="J65" i="6" s="1"/>
  <c r="AN223" i="11" s="1"/>
  <c r="D63" i="6"/>
  <c r="P63" i="6" s="1"/>
  <c r="AE227" i="11" s="1"/>
  <c r="D61" i="6"/>
  <c r="J61" i="6" s="1"/>
  <c r="X228" i="11" s="1"/>
  <c r="D59" i="6"/>
  <c r="P59" i="6" s="1"/>
  <c r="W224" i="11" s="1"/>
  <c r="D57" i="6"/>
  <c r="J57" i="6" s="1"/>
  <c r="P224" i="11" s="1"/>
  <c r="D55" i="6"/>
  <c r="P55" i="6" s="1"/>
  <c r="G230" i="11" s="1"/>
  <c r="D53" i="6"/>
  <c r="J53" i="6" s="1"/>
  <c r="AN185" i="11" s="1"/>
  <c r="D51" i="6"/>
  <c r="P51" i="6" s="1"/>
  <c r="AE184" i="11" s="1"/>
  <c r="D49" i="6"/>
  <c r="J49" i="6" s="1"/>
  <c r="X184" i="11" s="1"/>
  <c r="D47" i="6"/>
  <c r="P47" i="6" s="1"/>
  <c r="O186" i="11" s="1"/>
  <c r="D45" i="6"/>
  <c r="O45" i="6" s="1"/>
  <c r="F186" i="11" s="1"/>
  <c r="D43" i="6"/>
  <c r="P43" i="6" s="1"/>
  <c r="AM145" i="11" s="1"/>
  <c r="D41" i="6"/>
  <c r="P41" i="6" s="1"/>
  <c r="AE142" i="11" s="1"/>
  <c r="D39" i="6"/>
  <c r="P39" i="6" s="1"/>
  <c r="D37" i="6"/>
  <c r="P37" i="6" s="1"/>
  <c r="O146" i="11" s="1"/>
  <c r="D35" i="6"/>
  <c r="P35" i="6" s="1"/>
  <c r="G145" i="11" s="1"/>
  <c r="D33" i="6"/>
  <c r="P33" i="6" s="1"/>
  <c r="AM104" i="11" s="1"/>
  <c r="D31" i="6"/>
  <c r="P31" i="6" s="1"/>
  <c r="AE104" i="11" s="1"/>
  <c r="D29" i="6"/>
  <c r="P29" i="6" s="1"/>
  <c r="W106" i="11" s="1"/>
  <c r="D27" i="6"/>
  <c r="P27" i="6" s="1"/>
  <c r="O105" i="11" s="1"/>
  <c r="D25" i="6"/>
  <c r="P25" i="6" s="1"/>
  <c r="G104" i="11" s="1"/>
  <c r="D23" i="6"/>
  <c r="P23" i="6" s="1"/>
  <c r="AM63" i="11" s="1"/>
  <c r="D21" i="6"/>
  <c r="P21" i="6" s="1"/>
  <c r="AE62" i="11" s="1"/>
  <c r="D19" i="6"/>
  <c r="P19" i="6" s="1"/>
  <c r="W62" i="11" s="1"/>
  <c r="D17" i="6"/>
  <c r="P17" i="6" s="1"/>
  <c r="O60" i="11" s="1"/>
  <c r="D15" i="6"/>
  <c r="P15" i="6" s="1"/>
  <c r="G59" i="11" s="1"/>
  <c r="D13" i="6"/>
  <c r="P13" i="6" s="1"/>
  <c r="AM18" i="11" s="1"/>
  <c r="D11" i="6"/>
  <c r="P11" i="6" s="1"/>
  <c r="AE18" i="11" s="1"/>
  <c r="D9" i="6"/>
  <c r="P9" i="6" s="1"/>
  <c r="W20" i="11" s="1"/>
  <c r="D7" i="6"/>
  <c r="O7" i="6" s="1"/>
  <c r="N19" i="11" s="1"/>
  <c r="D5" i="6"/>
  <c r="P5" i="6" s="1"/>
  <c r="G20" i="11" s="1"/>
  <c r="I23" i="7"/>
  <c r="G19" i="7"/>
  <c r="G20" i="7" s="1"/>
  <c r="G23" i="7" s="1"/>
  <c r="F19" i="7"/>
  <c r="F20" i="7" s="1"/>
  <c r="F23" i="7" s="1"/>
  <c r="E19" i="7"/>
  <c r="E20" i="7" s="1"/>
  <c r="E23" i="7" s="1"/>
  <c r="D19" i="7"/>
  <c r="D20" i="7" s="1"/>
  <c r="D23" i="7" s="1"/>
  <c r="L16" i="7"/>
  <c r="L17" i="7" s="1"/>
  <c r="K15" i="7"/>
  <c r="J15" i="7"/>
  <c r="G15" i="7"/>
  <c r="F15" i="7"/>
  <c r="E15" i="7"/>
  <c r="D15" i="7"/>
  <c r="K14" i="7"/>
  <c r="J14" i="7"/>
  <c r="I14" i="7" s="1"/>
  <c r="G14" i="7"/>
  <c r="F14" i="7"/>
  <c r="E14" i="7"/>
  <c r="D14" i="7"/>
  <c r="K13" i="7"/>
  <c r="J13" i="7"/>
  <c r="G13" i="7"/>
  <c r="F13" i="7"/>
  <c r="E13" i="7"/>
  <c r="D13" i="7"/>
  <c r="K12" i="7"/>
  <c r="J12" i="7"/>
  <c r="G12" i="7"/>
  <c r="F12" i="7"/>
  <c r="E12" i="7"/>
  <c r="D12" i="7"/>
  <c r="K11" i="7"/>
  <c r="J11" i="7"/>
  <c r="G11" i="7"/>
  <c r="F11" i="7"/>
  <c r="E11" i="7"/>
  <c r="D11" i="7"/>
  <c r="K10" i="7"/>
  <c r="J10" i="7"/>
  <c r="G10" i="7"/>
  <c r="F10" i="7"/>
  <c r="E10" i="7"/>
  <c r="D10" i="7"/>
  <c r="K9" i="7"/>
  <c r="J9" i="7"/>
  <c r="G9" i="7"/>
  <c r="F9" i="7"/>
  <c r="E9" i="7"/>
  <c r="D9" i="7"/>
  <c r="K8" i="7"/>
  <c r="J8" i="7"/>
  <c r="G8" i="7"/>
  <c r="F8" i="7"/>
  <c r="E8" i="7"/>
  <c r="D8" i="7"/>
  <c r="G7" i="7"/>
  <c r="F7" i="7"/>
  <c r="E7" i="7"/>
  <c r="D7" i="7"/>
  <c r="G6" i="7"/>
  <c r="F6" i="7"/>
  <c r="E6" i="7"/>
  <c r="D6" i="7"/>
  <c r="K5" i="7"/>
  <c r="J5" i="7"/>
  <c r="G5" i="7"/>
  <c r="F5" i="7"/>
  <c r="E5" i="7"/>
  <c r="D5" i="7"/>
  <c r="G4" i="7"/>
  <c r="F4" i="7"/>
  <c r="E4" i="7"/>
  <c r="D4" i="7"/>
  <c r="E15" i="17"/>
  <c r="D15" i="17"/>
  <c r="C15" i="17"/>
  <c r="B15" i="17"/>
  <c r="E14" i="17"/>
  <c r="D14" i="17"/>
  <c r="C14" i="17"/>
  <c r="J21" i="7" s="1"/>
  <c r="B14" i="17"/>
  <c r="J20" i="7" s="1"/>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Q5" i="17"/>
  <c r="P5" i="17"/>
  <c r="O5" i="17"/>
  <c r="N5" i="17"/>
  <c r="M5" i="17"/>
  <c r="L5" i="17"/>
  <c r="K5" i="17"/>
  <c r="J5" i="17"/>
  <c r="I5" i="17"/>
  <c r="H5" i="17"/>
  <c r="G5" i="17"/>
  <c r="Y9" i="9" s="1"/>
  <c r="F5" i="17"/>
  <c r="X9" i="9" s="1"/>
  <c r="E5" i="17"/>
  <c r="W9" i="9" s="1"/>
  <c r="D5" i="17"/>
  <c r="V9" i="9" s="1"/>
  <c r="C5" i="17"/>
  <c r="U9" i="9" s="1"/>
  <c r="O61" i="9"/>
  <c r="N61" i="9"/>
  <c r="M61" i="9"/>
  <c r="L61" i="9"/>
  <c r="K61" i="9"/>
  <c r="J61" i="9"/>
  <c r="I61" i="9"/>
  <c r="H61" i="9"/>
  <c r="G61" i="9"/>
  <c r="F61" i="9"/>
  <c r="E61" i="9"/>
  <c r="D61" i="9"/>
  <c r="C61" i="9"/>
  <c r="O60" i="9"/>
  <c r="N60" i="9"/>
  <c r="M60" i="9"/>
  <c r="L60" i="9"/>
  <c r="K60" i="9"/>
  <c r="J60" i="9"/>
  <c r="I60" i="9"/>
  <c r="H60" i="9"/>
  <c r="O59" i="9"/>
  <c r="O62" i="9" s="1"/>
  <c r="N59" i="9"/>
  <c r="N62" i="9" s="1"/>
  <c r="M59" i="9"/>
  <c r="M62" i="9" s="1"/>
  <c r="L59" i="9"/>
  <c r="L62" i="9" s="1"/>
  <c r="K59" i="9"/>
  <c r="K62" i="9" s="1"/>
  <c r="J59" i="9"/>
  <c r="J62" i="9" s="1"/>
  <c r="I59" i="9"/>
  <c r="I62" i="9" s="1"/>
  <c r="H59" i="9"/>
  <c r="H62" i="9" s="1"/>
  <c r="O56" i="9"/>
  <c r="N56" i="9"/>
  <c r="M56" i="9"/>
  <c r="L56" i="9"/>
  <c r="K56" i="9"/>
  <c r="J56" i="9"/>
  <c r="I56" i="9"/>
  <c r="H56" i="9"/>
  <c r="G56" i="9"/>
  <c r="F56" i="9"/>
  <c r="E56" i="9"/>
  <c r="D56" i="9"/>
  <c r="C56" i="9"/>
  <c r="O55" i="9"/>
  <c r="N55" i="9"/>
  <c r="M55" i="9"/>
  <c r="L55" i="9"/>
  <c r="K55" i="9"/>
  <c r="J55" i="9"/>
  <c r="I55" i="9"/>
  <c r="H55" i="9"/>
  <c r="O54" i="9"/>
  <c r="O57" i="9" s="1"/>
  <c r="N54" i="9"/>
  <c r="N57" i="9" s="1"/>
  <c r="M54" i="9"/>
  <c r="M57" i="9" s="1"/>
  <c r="L54" i="9"/>
  <c r="L57" i="9" s="1"/>
  <c r="K54" i="9"/>
  <c r="K57" i="9" s="1"/>
  <c r="J54" i="9"/>
  <c r="J57" i="9" s="1"/>
  <c r="I54" i="9"/>
  <c r="I57" i="9" s="1"/>
  <c r="H54" i="9"/>
  <c r="H57" i="9" s="1"/>
  <c r="O51" i="9"/>
  <c r="N51" i="9"/>
  <c r="M51" i="9"/>
  <c r="L51" i="9"/>
  <c r="K51" i="9"/>
  <c r="J51" i="9"/>
  <c r="I51" i="9"/>
  <c r="H51" i="9"/>
  <c r="G51" i="9"/>
  <c r="F51" i="9"/>
  <c r="E51" i="9"/>
  <c r="D51" i="9"/>
  <c r="C51" i="9"/>
  <c r="O50" i="9"/>
  <c r="N50" i="9"/>
  <c r="M50" i="9"/>
  <c r="L50" i="9"/>
  <c r="K50" i="9"/>
  <c r="J50" i="9"/>
  <c r="I50" i="9"/>
  <c r="H50" i="9"/>
  <c r="O49" i="9"/>
  <c r="O52" i="9" s="1"/>
  <c r="N49" i="9"/>
  <c r="N52" i="9" s="1"/>
  <c r="M49" i="9"/>
  <c r="M52" i="9" s="1"/>
  <c r="L49" i="9"/>
  <c r="L52" i="9" s="1"/>
  <c r="K49" i="9"/>
  <c r="K52" i="9" s="1"/>
  <c r="J49" i="9"/>
  <c r="J52" i="9" s="1"/>
  <c r="I49" i="9"/>
  <c r="I52" i="9" s="1"/>
  <c r="H49" i="9"/>
  <c r="H52" i="9" s="1"/>
  <c r="O46" i="9"/>
  <c r="N46" i="9"/>
  <c r="M46" i="9"/>
  <c r="L46" i="9"/>
  <c r="K46" i="9"/>
  <c r="J46" i="9"/>
  <c r="I46" i="9"/>
  <c r="H46" i="9"/>
  <c r="G46" i="9"/>
  <c r="F46" i="9"/>
  <c r="E46" i="9"/>
  <c r="D46" i="9"/>
  <c r="C46" i="9"/>
  <c r="O45" i="9"/>
  <c r="N45" i="9"/>
  <c r="M45" i="9"/>
  <c r="L45" i="9"/>
  <c r="K45" i="9"/>
  <c r="J45" i="9"/>
  <c r="I45" i="9"/>
  <c r="H45" i="9"/>
  <c r="O44" i="9"/>
  <c r="O47" i="9" s="1"/>
  <c r="N44" i="9"/>
  <c r="N47" i="9" s="1"/>
  <c r="M44" i="9"/>
  <c r="M47" i="9" s="1"/>
  <c r="L44" i="9"/>
  <c r="L47" i="9" s="1"/>
  <c r="K44" i="9"/>
  <c r="K47" i="9" s="1"/>
  <c r="J44" i="9"/>
  <c r="J47" i="9" s="1"/>
  <c r="I44" i="9"/>
  <c r="I47" i="9" s="1"/>
  <c r="H44" i="9"/>
  <c r="H47" i="9" s="1"/>
  <c r="O41" i="9"/>
  <c r="N41" i="9"/>
  <c r="M41" i="9"/>
  <c r="L41" i="9"/>
  <c r="K41" i="9"/>
  <c r="J41" i="9"/>
  <c r="I41" i="9"/>
  <c r="H41" i="9"/>
  <c r="G41" i="9"/>
  <c r="F41" i="9"/>
  <c r="E41" i="9"/>
  <c r="D41" i="9"/>
  <c r="C41" i="9"/>
  <c r="O40" i="9"/>
  <c r="N40" i="9"/>
  <c r="M40" i="9"/>
  <c r="L40" i="9"/>
  <c r="K40" i="9"/>
  <c r="J40" i="9"/>
  <c r="I40" i="9"/>
  <c r="H40" i="9"/>
  <c r="O39" i="9"/>
  <c r="O42" i="9" s="1"/>
  <c r="N39" i="9"/>
  <c r="N42" i="9" s="1"/>
  <c r="M39" i="9"/>
  <c r="M42" i="9" s="1"/>
  <c r="L39" i="9"/>
  <c r="L42" i="9" s="1"/>
  <c r="K39" i="9"/>
  <c r="K42" i="9" s="1"/>
  <c r="J39" i="9"/>
  <c r="J42" i="9" s="1"/>
  <c r="I39" i="9"/>
  <c r="I42" i="9" s="1"/>
  <c r="H39" i="9"/>
  <c r="H42" i="9" s="1"/>
  <c r="O36" i="9"/>
  <c r="N36" i="9"/>
  <c r="M36" i="9"/>
  <c r="L36" i="9"/>
  <c r="K36" i="9"/>
  <c r="J36" i="9"/>
  <c r="I36" i="9"/>
  <c r="H36" i="9"/>
  <c r="G36" i="9"/>
  <c r="F36" i="9"/>
  <c r="E36" i="9"/>
  <c r="D36" i="9"/>
  <c r="C36" i="9"/>
  <c r="O35" i="9"/>
  <c r="N35" i="9"/>
  <c r="M35" i="9"/>
  <c r="L35" i="9"/>
  <c r="K35" i="9"/>
  <c r="J35" i="9"/>
  <c r="I35" i="9"/>
  <c r="H35" i="9"/>
  <c r="O34" i="9"/>
  <c r="O37" i="9" s="1"/>
  <c r="N34" i="9"/>
  <c r="N37" i="9" s="1"/>
  <c r="M34" i="9"/>
  <c r="M37" i="9" s="1"/>
  <c r="L34" i="9"/>
  <c r="L37" i="9" s="1"/>
  <c r="K34" i="9"/>
  <c r="K37" i="9" s="1"/>
  <c r="J34" i="9"/>
  <c r="J37" i="9" s="1"/>
  <c r="I34" i="9"/>
  <c r="I37" i="9" s="1"/>
  <c r="H34" i="9"/>
  <c r="H37" i="9" s="1"/>
  <c r="O31" i="9"/>
  <c r="N31" i="9"/>
  <c r="M31" i="9"/>
  <c r="L31" i="9"/>
  <c r="K31" i="9"/>
  <c r="J31" i="9"/>
  <c r="I31" i="9"/>
  <c r="H31" i="9"/>
  <c r="G31" i="9"/>
  <c r="F31" i="9"/>
  <c r="E31" i="9"/>
  <c r="D31" i="9"/>
  <c r="C31" i="9"/>
  <c r="O30" i="9"/>
  <c r="N30" i="9"/>
  <c r="M30" i="9"/>
  <c r="L30" i="9"/>
  <c r="K30" i="9"/>
  <c r="J30" i="9"/>
  <c r="I30" i="9"/>
  <c r="H30" i="9"/>
  <c r="O29" i="9"/>
  <c r="O32" i="9" s="1"/>
  <c r="N29" i="9"/>
  <c r="N32" i="9" s="1"/>
  <c r="M29" i="9"/>
  <c r="M32" i="9" s="1"/>
  <c r="L29" i="9"/>
  <c r="L32" i="9" s="1"/>
  <c r="K29" i="9"/>
  <c r="K32" i="9" s="1"/>
  <c r="J29" i="9"/>
  <c r="J32" i="9" s="1"/>
  <c r="I29" i="9"/>
  <c r="I32" i="9" s="1"/>
  <c r="H29" i="9"/>
  <c r="H32" i="9" s="1"/>
  <c r="O26" i="9"/>
  <c r="N26" i="9"/>
  <c r="M26" i="9"/>
  <c r="L26" i="9"/>
  <c r="K26" i="9"/>
  <c r="J26" i="9"/>
  <c r="I26" i="9"/>
  <c r="H26" i="9"/>
  <c r="G26" i="9"/>
  <c r="F26" i="9"/>
  <c r="E26" i="9"/>
  <c r="D26" i="9"/>
  <c r="C26" i="9"/>
  <c r="O25" i="9"/>
  <c r="N25" i="9"/>
  <c r="M25" i="9"/>
  <c r="L25" i="9"/>
  <c r="K25" i="9"/>
  <c r="J25" i="9"/>
  <c r="I25" i="9"/>
  <c r="H25" i="9"/>
  <c r="O24" i="9"/>
  <c r="O27" i="9" s="1"/>
  <c r="N24" i="9"/>
  <c r="N27" i="9" s="1"/>
  <c r="M24" i="9"/>
  <c r="M27" i="9" s="1"/>
  <c r="L24" i="9"/>
  <c r="L27" i="9" s="1"/>
  <c r="K24" i="9"/>
  <c r="K27" i="9" s="1"/>
  <c r="J24" i="9"/>
  <c r="J27" i="9" s="1"/>
  <c r="I24" i="9"/>
  <c r="I27" i="9" s="1"/>
  <c r="H24" i="9"/>
  <c r="H27" i="9" s="1"/>
  <c r="O21" i="9"/>
  <c r="N21" i="9"/>
  <c r="M21" i="9"/>
  <c r="L21" i="9"/>
  <c r="K21" i="9"/>
  <c r="J21" i="9"/>
  <c r="I21" i="9"/>
  <c r="H21" i="9"/>
  <c r="G21" i="9"/>
  <c r="F21" i="9"/>
  <c r="E21" i="9"/>
  <c r="D21" i="9"/>
  <c r="C21" i="9"/>
  <c r="O20" i="9"/>
  <c r="N20" i="9"/>
  <c r="M20" i="9"/>
  <c r="L20" i="9"/>
  <c r="K20" i="9"/>
  <c r="J20" i="9"/>
  <c r="I20" i="9"/>
  <c r="H20" i="9"/>
  <c r="O19" i="9"/>
  <c r="O22" i="9" s="1"/>
  <c r="N19" i="9"/>
  <c r="N22" i="9" s="1"/>
  <c r="M19" i="9"/>
  <c r="M22" i="9" s="1"/>
  <c r="L19" i="9"/>
  <c r="L22" i="9" s="1"/>
  <c r="K19" i="9"/>
  <c r="K22" i="9" s="1"/>
  <c r="J19" i="9"/>
  <c r="J22" i="9" s="1"/>
  <c r="I19" i="9"/>
  <c r="I22" i="9" s="1"/>
  <c r="H19" i="9"/>
  <c r="H22" i="9" s="1"/>
  <c r="O16" i="9"/>
  <c r="N16" i="9"/>
  <c r="M16" i="9"/>
  <c r="L16" i="9"/>
  <c r="K16" i="9"/>
  <c r="J16" i="9"/>
  <c r="I16" i="9"/>
  <c r="H16" i="9"/>
  <c r="G16" i="9"/>
  <c r="F16" i="9"/>
  <c r="E16" i="9"/>
  <c r="D16" i="9"/>
  <c r="C16" i="9"/>
  <c r="O15" i="9"/>
  <c r="N15" i="9"/>
  <c r="M15" i="9"/>
  <c r="L15" i="9"/>
  <c r="K15" i="9"/>
  <c r="J15" i="9"/>
  <c r="I15" i="9"/>
  <c r="H15" i="9"/>
  <c r="O14" i="9"/>
  <c r="O17" i="9" s="1"/>
  <c r="N14" i="9"/>
  <c r="N17" i="9" s="1"/>
  <c r="M14" i="9"/>
  <c r="M17" i="9" s="1"/>
  <c r="L14" i="9"/>
  <c r="L17" i="9" s="1"/>
  <c r="K14" i="9"/>
  <c r="K17" i="9" s="1"/>
  <c r="J14" i="9"/>
  <c r="J17" i="9" s="1"/>
  <c r="I14" i="9"/>
  <c r="I17" i="9" s="1"/>
  <c r="H14" i="9"/>
  <c r="H17" i="9" s="1"/>
  <c r="O11" i="9"/>
  <c r="N11" i="9"/>
  <c r="M11" i="9"/>
  <c r="L11" i="9"/>
  <c r="K11" i="9"/>
  <c r="J11" i="9"/>
  <c r="I11" i="9"/>
  <c r="H11" i="9"/>
  <c r="G11" i="9"/>
  <c r="F11" i="9"/>
  <c r="E11" i="9"/>
  <c r="D11" i="9"/>
  <c r="C11" i="9"/>
  <c r="O10" i="9"/>
  <c r="N10" i="9"/>
  <c r="M10" i="9"/>
  <c r="L10" i="9"/>
  <c r="K10" i="9"/>
  <c r="J10" i="9"/>
  <c r="I10" i="9"/>
  <c r="H10" i="9"/>
  <c r="AF9" i="9"/>
  <c r="AE9" i="9"/>
  <c r="AD9" i="9"/>
  <c r="AC9" i="9"/>
  <c r="AB9" i="9"/>
  <c r="AA9" i="9"/>
  <c r="Z9" i="9"/>
  <c r="O9" i="9"/>
  <c r="O12" i="9" s="1"/>
  <c r="N9" i="9"/>
  <c r="N12" i="9" s="1"/>
  <c r="M9" i="9"/>
  <c r="M12" i="9" s="1"/>
  <c r="L9" i="9"/>
  <c r="L12" i="9" s="1"/>
  <c r="K9" i="9"/>
  <c r="K12" i="9" s="1"/>
  <c r="J9" i="9"/>
  <c r="J12" i="9" s="1"/>
  <c r="I9" i="9"/>
  <c r="I12" i="9" s="1"/>
  <c r="H9" i="9"/>
  <c r="H12" i="9" s="1"/>
  <c r="O6" i="9"/>
  <c r="N6" i="9"/>
  <c r="M6" i="9"/>
  <c r="L6" i="9"/>
  <c r="K6" i="9"/>
  <c r="J6" i="9"/>
  <c r="I6" i="9"/>
  <c r="H6" i="9"/>
  <c r="G6" i="9"/>
  <c r="F6" i="9"/>
  <c r="E6" i="9"/>
  <c r="D6" i="9"/>
  <c r="C6" i="9"/>
  <c r="O5" i="9"/>
  <c r="N5" i="9"/>
  <c r="M5" i="9"/>
  <c r="L5" i="9"/>
  <c r="K5" i="9"/>
  <c r="J5" i="9"/>
  <c r="I5" i="9"/>
  <c r="H5" i="9"/>
  <c r="O4" i="9"/>
  <c r="N4" i="9"/>
  <c r="M4" i="9"/>
  <c r="L4" i="9"/>
  <c r="K4" i="9"/>
  <c r="J4" i="9"/>
  <c r="I4" i="9"/>
  <c r="H4" i="9"/>
  <c r="Q34" i="18"/>
  <c r="Q32" i="18"/>
  <c r="Q31" i="18"/>
  <c r="Q30" i="18"/>
  <c r="Q29" i="18"/>
  <c r="Q27" i="18"/>
  <c r="Q26" i="18"/>
  <c r="Q25" i="18"/>
  <c r="Q24" i="18"/>
  <c r="Q23" i="18"/>
  <c r="Q22" i="18"/>
  <c r="Q21" i="18"/>
  <c r="Q19" i="18"/>
  <c r="Q18" i="18"/>
  <c r="Q17" i="18"/>
  <c r="Q15" i="18"/>
  <c r="Q13" i="18"/>
  <c r="Q12" i="18"/>
  <c r="Q11" i="18"/>
  <c r="Q10" i="18"/>
  <c r="Q9" i="18"/>
  <c r="Q8" i="18"/>
  <c r="Q7" i="18"/>
  <c r="Q6" i="18"/>
  <c r="Q5" i="18"/>
  <c r="C60" i="9"/>
  <c r="C59" i="9"/>
  <c r="A242" i="10"/>
  <c r="A241" i="10"/>
  <c r="C55" i="9"/>
  <c r="C54" i="9"/>
  <c r="A231" i="10"/>
  <c r="A230" i="10"/>
  <c r="F54" i="9"/>
  <c r="A221" i="10"/>
  <c r="A220" i="10"/>
  <c r="C50" i="9"/>
  <c r="C213" i="10"/>
  <c r="A210" i="10"/>
  <c r="A209" i="10"/>
  <c r="C201" i="10"/>
  <c r="A200" i="10"/>
  <c r="A199" i="10"/>
  <c r="C193" i="10"/>
  <c r="A191" i="10"/>
  <c r="A190" i="10"/>
  <c r="C40" i="9"/>
  <c r="A178" i="10"/>
  <c r="A177" i="10"/>
  <c r="C169" i="10"/>
  <c r="A168" i="10"/>
  <c r="A167" i="10"/>
  <c r="E39" i="9"/>
  <c r="A158" i="10"/>
  <c r="A157" i="10"/>
  <c r="C35" i="9"/>
  <c r="A148" i="10"/>
  <c r="A147" i="10"/>
  <c r="C30" i="9"/>
  <c r="C29" i="9"/>
  <c r="A117" i="10"/>
  <c r="A116" i="10"/>
  <c r="C25" i="9"/>
  <c r="C24" i="9"/>
  <c r="A106" i="10"/>
  <c r="A105" i="10"/>
  <c r="O89" i="10"/>
  <c r="O86" i="10"/>
  <c r="A95" i="10"/>
  <c r="A94" i="10"/>
  <c r="Z78" i="10"/>
  <c r="O78" i="10"/>
  <c r="AA75" i="10"/>
  <c r="AA78" i="10" s="1"/>
  <c r="C15" i="9"/>
  <c r="A73" i="10"/>
  <c r="Z63" i="10"/>
  <c r="C14" i="9"/>
  <c r="AA59" i="10"/>
  <c r="AA57" i="10"/>
  <c r="AA63" i="10" s="1"/>
  <c r="C10" i="9"/>
  <c r="O48" i="10"/>
  <c r="A48" i="10"/>
  <c r="F9" i="9"/>
  <c r="D9" i="9"/>
  <c r="C9" i="9"/>
  <c r="A37" i="10"/>
  <c r="AE36" i="10"/>
  <c r="A36" i="10"/>
  <c r="AE35" i="10"/>
  <c r="F5" i="9"/>
  <c r="E5" i="9"/>
  <c r="D5" i="9"/>
  <c r="C5" i="9"/>
  <c r="A25" i="10"/>
  <c r="A24" i="10"/>
  <c r="G4" i="9"/>
  <c r="F4" i="9"/>
  <c r="E4" i="9"/>
  <c r="Z13" i="10"/>
  <c r="AA10" i="10"/>
  <c r="AA9" i="10"/>
  <c r="AA13" i="10" s="1"/>
  <c r="E99" i="16" l="1"/>
  <c r="AJ14" i="12"/>
  <c r="AL14" i="12" s="1"/>
  <c r="AK14" i="16"/>
  <c r="AM14" i="16" s="1"/>
  <c r="AB96" i="16"/>
  <c r="D97" i="16"/>
  <c r="E98" i="16"/>
  <c r="D14" i="12"/>
  <c r="F14" i="12" s="1"/>
  <c r="L16" i="13"/>
  <c r="N16" i="13" s="1"/>
  <c r="M18" i="13"/>
  <c r="O18" i="13" s="1"/>
  <c r="AB15" i="14"/>
  <c r="L16" i="14"/>
  <c r="T13" i="16"/>
  <c r="T15" i="16"/>
  <c r="D16" i="16"/>
  <c r="T16" i="16"/>
  <c r="AJ19" i="12"/>
  <c r="AL19" i="12" s="1"/>
  <c r="E13" i="14"/>
  <c r="U13" i="14"/>
  <c r="AJ13" i="14"/>
  <c r="D14" i="14"/>
  <c r="T14" i="14"/>
  <c r="AJ14" i="14"/>
  <c r="D15" i="14"/>
  <c r="T15" i="14"/>
  <c r="AJ15" i="14"/>
  <c r="D16" i="14"/>
  <c r="T16" i="14"/>
  <c r="AJ16" i="14"/>
  <c r="D17" i="14"/>
  <c r="U17" i="14"/>
  <c r="U20" i="14"/>
  <c r="AB54" i="14"/>
  <c r="AJ54" i="14"/>
  <c r="AC55" i="14"/>
  <c r="AB57" i="14"/>
  <c r="AJ57" i="14"/>
  <c r="AC58" i="14"/>
  <c r="AB13" i="16"/>
  <c r="AJ13" i="16"/>
  <c r="AL13" i="16" s="1"/>
  <c r="M14" i="16"/>
  <c r="M15" i="16"/>
  <c r="E54" i="16"/>
  <c r="G54" i="16" s="1"/>
  <c r="T54" i="16"/>
  <c r="AB54" i="16"/>
  <c r="E100" i="16"/>
  <c r="O85" i="10"/>
  <c r="E56" i="12"/>
  <c r="G56" i="12" s="1"/>
  <c r="E138" i="12"/>
  <c r="G138" i="12" s="1"/>
  <c r="U15" i="13"/>
  <c r="W15" i="13" s="1"/>
  <c r="AB17" i="14"/>
  <c r="AK55" i="14"/>
  <c r="AK56" i="14"/>
  <c r="AK58" i="14"/>
  <c r="M13" i="16"/>
  <c r="AK13" i="16"/>
  <c r="AM13" i="16" s="1"/>
  <c r="L14" i="16"/>
  <c r="AB14" i="16"/>
  <c r="AJ14" i="16"/>
  <c r="AL14" i="16" s="1"/>
  <c r="L15" i="16"/>
  <c r="AB15" i="16"/>
  <c r="L16" i="16"/>
  <c r="AJ55" i="16"/>
  <c r="AJ56" i="16"/>
  <c r="E95" i="16"/>
  <c r="AK55" i="12"/>
  <c r="AM55" i="12" s="1"/>
  <c r="L13" i="13"/>
  <c r="N13" i="13" s="1"/>
  <c r="M19" i="13"/>
  <c r="O19" i="13" s="1"/>
  <c r="T17" i="14"/>
  <c r="D18" i="14"/>
  <c r="AK18" i="14"/>
  <c r="U21" i="14"/>
  <c r="AB59" i="14"/>
  <c r="AJ59" i="14"/>
  <c r="M61" i="14"/>
  <c r="D15" i="16"/>
  <c r="C45" i="9"/>
  <c r="C202" i="10"/>
  <c r="C49" i="9"/>
  <c r="C44" i="9"/>
  <c r="U59" i="14"/>
  <c r="E59" i="14"/>
  <c r="L13" i="11"/>
  <c r="N13" i="11" s="1"/>
  <c r="M55" i="12"/>
  <c r="O55" i="12" s="1"/>
  <c r="AB56" i="12"/>
  <c r="AD56" i="12" s="1"/>
  <c r="L58" i="12"/>
  <c r="N58" i="12" s="1"/>
  <c r="M60" i="12"/>
  <c r="O60" i="12" s="1"/>
  <c r="AK60" i="12"/>
  <c r="AM60" i="12" s="1"/>
  <c r="E140" i="12"/>
  <c r="G140" i="12" s="1"/>
  <c r="T13" i="13"/>
  <c r="V13" i="13" s="1"/>
  <c r="T14" i="13"/>
  <c r="V14" i="13" s="1"/>
  <c r="AB15" i="13"/>
  <c r="AD15" i="13" s="1"/>
  <c r="T16" i="13"/>
  <c r="V16" i="13" s="1"/>
  <c r="U17" i="13"/>
  <c r="W17" i="13" s="1"/>
  <c r="U18" i="13"/>
  <c r="W18" i="13" s="1"/>
  <c r="AK55" i="13"/>
  <c r="AM55" i="13" s="1"/>
  <c r="M57" i="13"/>
  <c r="O57" i="13" s="1"/>
  <c r="AJ57" i="13"/>
  <c r="AL57" i="13" s="1"/>
  <c r="AK17" i="14"/>
  <c r="E20" i="14"/>
  <c r="E21" i="14"/>
  <c r="E22" i="14"/>
  <c r="M19" i="14"/>
  <c r="T259" i="11"/>
  <c r="V259" i="11" s="1"/>
  <c r="E55" i="12"/>
  <c r="G55" i="12" s="1"/>
  <c r="D59" i="12"/>
  <c r="F59" i="12" s="1"/>
  <c r="D60" i="12"/>
  <c r="F60" i="12" s="1"/>
  <c r="M137" i="12"/>
  <c r="O137" i="12" s="1"/>
  <c r="L139" i="12"/>
  <c r="N139" i="12" s="1"/>
  <c r="L141" i="12"/>
  <c r="N141" i="12" s="1"/>
  <c r="M13" i="13"/>
  <c r="O13" i="13" s="1"/>
  <c r="U13" i="13"/>
  <c r="W13" i="13" s="1"/>
  <c r="M14" i="13"/>
  <c r="O14" i="13" s="1"/>
  <c r="U14" i="13"/>
  <c r="W14" i="13" s="1"/>
  <c r="L15" i="13"/>
  <c r="N15" i="13" s="1"/>
  <c r="T15" i="13"/>
  <c r="V15" i="13" s="1"/>
  <c r="M16" i="13"/>
  <c r="O16" i="13" s="1"/>
  <c r="U16" i="13"/>
  <c r="W16" i="13" s="1"/>
  <c r="M17" i="13"/>
  <c r="O17" i="13" s="1"/>
  <c r="L18" i="13"/>
  <c r="N18" i="13" s="1"/>
  <c r="T18" i="13"/>
  <c r="V18" i="13" s="1"/>
  <c r="L19" i="13"/>
  <c r="N19" i="13" s="1"/>
  <c r="L55" i="14"/>
  <c r="T55" i="14"/>
  <c r="D56" i="14"/>
  <c r="L56" i="14"/>
  <c r="T56" i="14"/>
  <c r="D57" i="14"/>
  <c r="L57" i="14"/>
  <c r="T57" i="14"/>
  <c r="D58" i="14"/>
  <c r="L58" i="14"/>
  <c r="T58" i="14"/>
  <c r="M60" i="14"/>
  <c r="D61" i="14"/>
  <c r="E55" i="16"/>
  <c r="G55" i="16" s="1"/>
  <c r="T55" i="16"/>
  <c r="AB55" i="16"/>
  <c r="D56" i="16"/>
  <c r="F56" i="16" s="1"/>
  <c r="AB13" i="11"/>
  <c r="AD13" i="11" s="1"/>
  <c r="U260" i="11"/>
  <c r="W260" i="11" s="1"/>
  <c r="D55" i="12"/>
  <c r="F55" i="12" s="1"/>
  <c r="L55" i="12"/>
  <c r="N55" i="12" s="1"/>
  <c r="AJ55" i="12"/>
  <c r="AL55" i="12" s="1"/>
  <c r="D56" i="12"/>
  <c r="F56" i="12" s="1"/>
  <c r="L56" i="12"/>
  <c r="N56" i="12" s="1"/>
  <c r="D57" i="12"/>
  <c r="F57" i="12" s="1"/>
  <c r="E58" i="12"/>
  <c r="G58" i="12" s="1"/>
  <c r="AJ58" i="12"/>
  <c r="AL58" i="12" s="1"/>
  <c r="E59" i="12"/>
  <c r="G59" i="12" s="1"/>
  <c r="E60" i="12"/>
  <c r="G60" i="12" s="1"/>
  <c r="E61" i="12"/>
  <c r="G61" i="12" s="1"/>
  <c r="E62" i="12"/>
  <c r="G62" i="12" s="1"/>
  <c r="M96" i="12"/>
  <c r="O96" i="12" s="1"/>
  <c r="AK137" i="12"/>
  <c r="AM137" i="12" s="1"/>
  <c r="AJ138" i="12"/>
  <c r="AL138" i="12" s="1"/>
  <c r="AK139" i="12"/>
  <c r="AM139" i="12" s="1"/>
  <c r="AK54" i="13"/>
  <c r="AM54" i="13" s="1"/>
  <c r="AK58" i="13"/>
  <c r="AM58" i="13" s="1"/>
  <c r="AJ60" i="13"/>
  <c r="AL60" i="13" s="1"/>
  <c r="L62" i="13"/>
  <c r="N62" i="13" s="1"/>
  <c r="L13" i="14"/>
  <c r="AB13" i="14"/>
  <c r="L14" i="14"/>
  <c r="AB14" i="14"/>
  <c r="L15" i="14"/>
  <c r="M18" i="14"/>
  <c r="AC54" i="14"/>
  <c r="AK54" i="14"/>
  <c r="AB55" i="14"/>
  <c r="AJ55" i="14"/>
  <c r="AB56" i="14"/>
  <c r="AJ56" i="14"/>
  <c r="AC57" i="14"/>
  <c r="AK57" i="14"/>
  <c r="AJ58" i="14"/>
  <c r="AC59" i="14"/>
  <c r="AK59" i="14"/>
  <c r="AK60" i="14"/>
  <c r="E62" i="14"/>
  <c r="E13" i="16"/>
  <c r="U13" i="16"/>
  <c r="AC13" i="16"/>
  <c r="E14" i="16"/>
  <c r="U14" i="16"/>
  <c r="AC14" i="16"/>
  <c r="E15" i="16"/>
  <c r="U15" i="16"/>
  <c r="AC15" i="16"/>
  <c r="U16" i="16"/>
  <c r="D54" i="16"/>
  <c r="F54" i="16" s="1"/>
  <c r="D55" i="16"/>
  <c r="F55" i="16" s="1"/>
  <c r="E56" i="16"/>
  <c r="G56" i="16" s="1"/>
  <c r="L15" i="12"/>
  <c r="N15" i="12" s="1"/>
  <c r="AK15" i="12"/>
  <c r="AM15" i="12" s="1"/>
  <c r="M17" i="12"/>
  <c r="O17" i="12" s="1"/>
  <c r="AJ17" i="12"/>
  <c r="AL17" i="12" s="1"/>
  <c r="AJ18" i="12"/>
  <c r="AL18" i="12" s="1"/>
  <c r="AJ20" i="12"/>
  <c r="AL20" i="12" s="1"/>
  <c r="E137" i="12"/>
  <c r="G137" i="12" s="1"/>
  <c r="M144" i="12"/>
  <c r="O144" i="12" s="1"/>
  <c r="T178" i="12"/>
  <c r="V178" i="12" s="1"/>
  <c r="M54" i="13"/>
  <c r="O54" i="13" s="1"/>
  <c r="M55" i="13"/>
  <c r="O55" i="13" s="1"/>
  <c r="M56" i="13"/>
  <c r="O56" i="13" s="1"/>
  <c r="AJ56" i="13"/>
  <c r="AL56" i="13" s="1"/>
  <c r="L58" i="13"/>
  <c r="N58" i="13" s="1"/>
  <c r="L59" i="13"/>
  <c r="N59" i="13" s="1"/>
  <c r="L60" i="13"/>
  <c r="N60" i="13" s="1"/>
  <c r="AK64" i="13"/>
  <c r="AM64" i="13" s="1"/>
  <c r="AJ15" i="16"/>
  <c r="AL15" i="16" s="1"/>
  <c r="E16" i="16"/>
  <c r="M16" i="16"/>
  <c r="AC16" i="16"/>
  <c r="AC17" i="16"/>
  <c r="E23" i="6"/>
  <c r="AG63" i="11" s="1"/>
  <c r="E17" i="3"/>
  <c r="Y27" i="15" s="1"/>
  <c r="E39" i="6"/>
  <c r="Q148" i="11" s="1"/>
  <c r="E33" i="3"/>
  <c r="I109" i="15" s="1"/>
  <c r="AE62" i="12"/>
  <c r="AB58" i="12"/>
  <c r="AD58" i="12" s="1"/>
  <c r="AC57" i="12"/>
  <c r="AE57" i="12" s="1"/>
  <c r="AC55" i="12"/>
  <c r="AE55" i="12" s="1"/>
  <c r="AC101" i="12"/>
  <c r="AE101" i="12" s="1"/>
  <c r="AB100" i="12"/>
  <c r="AD100" i="12" s="1"/>
  <c r="AB99" i="12"/>
  <c r="AD99" i="12" s="1"/>
  <c r="AC98" i="12"/>
  <c r="AE98" i="12" s="1"/>
  <c r="AC97" i="12"/>
  <c r="AE97" i="12" s="1"/>
  <c r="AB96" i="12"/>
  <c r="AD96" i="12" s="1"/>
  <c r="AE189" i="12"/>
  <c r="AC182" i="12"/>
  <c r="AE182" i="12" s="1"/>
  <c r="P25" i="3"/>
  <c r="W69" i="15" s="1"/>
  <c r="E25" i="3"/>
  <c r="Q69" i="15" s="1"/>
  <c r="AC57" i="16"/>
  <c r="AC56" i="16"/>
  <c r="AC55" i="16"/>
  <c r="AC54" i="16"/>
  <c r="U58" i="16"/>
  <c r="T57" i="16"/>
  <c r="U56" i="16"/>
  <c r="U55" i="16"/>
  <c r="U54" i="16"/>
  <c r="O96" i="16"/>
  <c r="L95" i="16"/>
  <c r="N95" i="16" s="1"/>
  <c r="AC98" i="16"/>
  <c r="AB97" i="16"/>
  <c r="AC96" i="16"/>
  <c r="AC95" i="16"/>
  <c r="J23" i="7"/>
  <c r="F15" i="17"/>
  <c r="E15" i="6"/>
  <c r="A59" i="11" s="1"/>
  <c r="E31" i="6"/>
  <c r="Y104" i="11" s="1"/>
  <c r="E47" i="6"/>
  <c r="I186" i="11" s="1"/>
  <c r="F69" i="6"/>
  <c r="B270" i="11" s="1"/>
  <c r="U13" i="11"/>
  <c r="W13" i="11" s="1"/>
  <c r="AJ13" i="12"/>
  <c r="AL13" i="12" s="1"/>
  <c r="L14" i="12"/>
  <c r="N14" i="12" s="1"/>
  <c r="D15" i="12"/>
  <c r="F15" i="12" s="1"/>
  <c r="E16" i="12"/>
  <c r="G16" i="12" s="1"/>
  <c r="D17" i="12"/>
  <c r="F17" i="12" s="1"/>
  <c r="D18" i="12"/>
  <c r="F18" i="12" s="1"/>
  <c r="T18" i="12"/>
  <c r="V18" i="12" s="1"/>
  <c r="U19" i="12"/>
  <c r="W19" i="12" s="1"/>
  <c r="D20" i="12"/>
  <c r="F20" i="12" s="1"/>
  <c r="D21" i="12"/>
  <c r="F21" i="12" s="1"/>
  <c r="AK22" i="12"/>
  <c r="AM22" i="12" s="1"/>
  <c r="D25" i="12"/>
  <c r="F25" i="12" s="1"/>
  <c r="E27" i="12"/>
  <c r="G27" i="12" s="1"/>
  <c r="AB55" i="12"/>
  <c r="AD55" i="12" s="1"/>
  <c r="AJ96" i="12"/>
  <c r="AL96" i="12" s="1"/>
  <c r="AK97" i="12"/>
  <c r="AM97" i="12" s="1"/>
  <c r="AK99" i="12"/>
  <c r="AM99" i="12" s="1"/>
  <c r="AK102" i="12"/>
  <c r="AM102" i="12" s="1"/>
  <c r="AJ143" i="12"/>
  <c r="AL143" i="12" s="1"/>
  <c r="AK141" i="12"/>
  <c r="AM141" i="12" s="1"/>
  <c r="AJ137" i="12"/>
  <c r="AL137" i="12" s="1"/>
  <c r="E178" i="12"/>
  <c r="G178" i="12" s="1"/>
  <c r="AB178" i="12"/>
  <c r="AD178" i="12" s="1"/>
  <c r="AB180" i="12"/>
  <c r="AD180" i="12" s="1"/>
  <c r="G66" i="13"/>
  <c r="E59" i="13"/>
  <c r="G59" i="13" s="1"/>
  <c r="AC22" i="14"/>
  <c r="AC19" i="14"/>
  <c r="AC16" i="14"/>
  <c r="AC15" i="14"/>
  <c r="AC14" i="14"/>
  <c r="AC13" i="14"/>
  <c r="M23" i="14"/>
  <c r="M17" i="14"/>
  <c r="M16" i="14"/>
  <c r="M15" i="14"/>
  <c r="M14" i="14"/>
  <c r="M13" i="14"/>
  <c r="U62" i="14"/>
  <c r="U61" i="14"/>
  <c r="U60" i="14"/>
  <c r="T59" i="14"/>
  <c r="U58" i="14"/>
  <c r="U57" i="14"/>
  <c r="U56" i="14"/>
  <c r="U55" i="14"/>
  <c r="U54" i="14"/>
  <c r="M63" i="14"/>
  <c r="M62" i="14"/>
  <c r="L60" i="14"/>
  <c r="L59" i="14"/>
  <c r="M58" i="14"/>
  <c r="M57" i="14"/>
  <c r="M56" i="14"/>
  <c r="M55" i="14"/>
  <c r="M54" i="14"/>
  <c r="E64" i="14"/>
  <c r="E61" i="14"/>
  <c r="D60" i="14"/>
  <c r="D59" i="14"/>
  <c r="E58" i="14"/>
  <c r="E57" i="14"/>
  <c r="E56" i="14"/>
  <c r="E55" i="14"/>
  <c r="E54" i="14"/>
  <c r="P9" i="3"/>
  <c r="G31" i="15" s="1"/>
  <c r="E9" i="3"/>
  <c r="A31" i="15" s="1"/>
  <c r="P41" i="3"/>
  <c r="E41" i="3"/>
  <c r="U57" i="16"/>
  <c r="O58" i="16"/>
  <c r="L57" i="16"/>
  <c r="N57" i="16" s="1"/>
  <c r="M55" i="16"/>
  <c r="O55" i="16" s="1"/>
  <c r="M54" i="16"/>
  <c r="O54" i="16" s="1"/>
  <c r="AK58" i="16"/>
  <c r="AJ57" i="16"/>
  <c r="AK56" i="16"/>
  <c r="AK55" i="16"/>
  <c r="AK54" i="16"/>
  <c r="W97" i="16"/>
  <c r="T96" i="16"/>
  <c r="V96" i="16" s="1"/>
  <c r="U95" i="16"/>
  <c r="W95" i="16" s="1"/>
  <c r="E101" i="16"/>
  <c r="D100" i="16"/>
  <c r="D99" i="16"/>
  <c r="D98" i="16"/>
  <c r="E97" i="16"/>
  <c r="E96" i="16"/>
  <c r="D95" i="16"/>
  <c r="E98" i="14"/>
  <c r="M63" i="6"/>
  <c r="AC227" i="11" s="1"/>
  <c r="M7" i="5"/>
  <c r="M22" i="12" s="1"/>
  <c r="M19" i="5"/>
  <c r="U68" i="12" s="1"/>
  <c r="M27" i="5"/>
  <c r="M107" i="12" s="1"/>
  <c r="M43" i="5"/>
  <c r="AC148" i="12" s="1"/>
  <c r="W104" i="12"/>
  <c r="T96" i="12"/>
  <c r="V96" i="12" s="1"/>
  <c r="M15" i="6"/>
  <c r="E59" i="11" s="1"/>
  <c r="M23" i="6"/>
  <c r="AK63" i="11" s="1"/>
  <c r="M31" i="6"/>
  <c r="AC104" i="11" s="1"/>
  <c r="M39" i="6"/>
  <c r="U148" i="11" s="1"/>
  <c r="M47" i="6"/>
  <c r="M186" i="11" s="1"/>
  <c r="F53" i="6"/>
  <c r="AH185" i="11" s="1"/>
  <c r="E63" i="6"/>
  <c r="Y227" i="11" s="1"/>
  <c r="D13" i="11"/>
  <c r="F13" i="11" s="1"/>
  <c r="AJ13" i="11"/>
  <c r="AL13" i="11" s="1"/>
  <c r="L14" i="11"/>
  <c r="N14" i="11" s="1"/>
  <c r="D15" i="11"/>
  <c r="F15" i="11" s="1"/>
  <c r="D54" i="11"/>
  <c r="F54" i="11" s="1"/>
  <c r="M259" i="11"/>
  <c r="O259" i="11" s="1"/>
  <c r="M260" i="11"/>
  <c r="O260" i="11" s="1"/>
  <c r="M261" i="11"/>
  <c r="O261" i="11" s="1"/>
  <c r="E7" i="5"/>
  <c r="I22" i="12" s="1"/>
  <c r="E19" i="5"/>
  <c r="Q68" i="12" s="1"/>
  <c r="E27" i="5"/>
  <c r="I107" i="12" s="1"/>
  <c r="E43" i="5"/>
  <c r="Y148" i="12" s="1"/>
  <c r="E51" i="5"/>
  <c r="Q192" i="12" s="1"/>
  <c r="U16" i="12"/>
  <c r="W16" i="12" s="1"/>
  <c r="D22" i="12"/>
  <c r="F22" i="12" s="1"/>
  <c r="D24" i="12"/>
  <c r="F24" i="12" s="1"/>
  <c r="E28" i="12"/>
  <c r="G28" i="12" s="1"/>
  <c r="AB59" i="12"/>
  <c r="AD59" i="12" s="1"/>
  <c r="T98" i="12"/>
  <c r="V98" i="12" s="1"/>
  <c r="O103" i="12"/>
  <c r="M101" i="12"/>
  <c r="O101" i="12" s="1"/>
  <c r="M100" i="12"/>
  <c r="O100" i="12" s="1"/>
  <c r="M99" i="12"/>
  <c r="O99" i="12" s="1"/>
  <c r="L98" i="12"/>
  <c r="N98" i="12" s="1"/>
  <c r="M97" i="12"/>
  <c r="O97" i="12" s="1"/>
  <c r="L96" i="12"/>
  <c r="N96" i="12" s="1"/>
  <c r="AE105" i="12"/>
  <c r="AC104" i="12"/>
  <c r="AE104" i="12" s="1"/>
  <c r="AC103" i="12"/>
  <c r="AE103" i="12" s="1"/>
  <c r="AC102" i="12"/>
  <c r="AE102" i="12" s="1"/>
  <c r="AB98" i="12"/>
  <c r="AD98" i="12" s="1"/>
  <c r="AB97" i="12"/>
  <c r="AD97" i="12" s="1"/>
  <c r="AC96" i="12"/>
  <c r="AE96" i="12" s="1"/>
  <c r="AM109" i="12"/>
  <c r="AJ106" i="12"/>
  <c r="AL106" i="12" s="1"/>
  <c r="AK105" i="12"/>
  <c r="AM105" i="12" s="1"/>
  <c r="AJ100" i="12"/>
  <c r="AL100" i="12" s="1"/>
  <c r="AJ99" i="12"/>
  <c r="AL99" i="12" s="1"/>
  <c r="AJ98" i="12"/>
  <c r="AL98" i="12" s="1"/>
  <c r="AJ97" i="12"/>
  <c r="AL97" i="12" s="1"/>
  <c r="AK96" i="12"/>
  <c r="AM96" i="12" s="1"/>
  <c r="M9" i="2"/>
  <c r="U26" i="14" s="1"/>
  <c r="M17" i="2"/>
  <c r="M67" i="14" s="1"/>
  <c r="M25" i="2"/>
  <c r="E106" i="14" s="1"/>
  <c r="M11" i="4"/>
  <c r="AC22" i="16" s="1"/>
  <c r="M19" i="4"/>
  <c r="U62" i="16" s="1"/>
  <c r="M27" i="4"/>
  <c r="M100" i="16" s="1"/>
  <c r="D137" i="12"/>
  <c r="F137" i="12" s="1"/>
  <c r="L137" i="12"/>
  <c r="N137" i="12" s="1"/>
  <c r="D138" i="12"/>
  <c r="F138" i="12" s="1"/>
  <c r="L138" i="12"/>
  <c r="N138" i="12" s="1"/>
  <c r="D139" i="12"/>
  <c r="F139" i="12" s="1"/>
  <c r="L140" i="12"/>
  <c r="N140" i="12" s="1"/>
  <c r="D141" i="12"/>
  <c r="F141" i="12" s="1"/>
  <c r="E142" i="12"/>
  <c r="G142" i="12" s="1"/>
  <c r="E143" i="12"/>
  <c r="G143" i="12" s="1"/>
  <c r="T181" i="12"/>
  <c r="V181" i="12" s="1"/>
  <c r="U182" i="12"/>
  <c r="W182" i="12" s="1"/>
  <c r="U184" i="12"/>
  <c r="W184" i="12" s="1"/>
  <c r="U185" i="12"/>
  <c r="W185" i="12" s="1"/>
  <c r="L54" i="13"/>
  <c r="N54" i="13" s="1"/>
  <c r="AJ54" i="13"/>
  <c r="AL54" i="13" s="1"/>
  <c r="L55" i="13"/>
  <c r="N55" i="13" s="1"/>
  <c r="AJ55" i="13"/>
  <c r="AL55" i="13" s="1"/>
  <c r="L56" i="13"/>
  <c r="N56" i="13" s="1"/>
  <c r="AK56" i="13"/>
  <c r="AM56" i="13" s="1"/>
  <c r="AK57" i="13"/>
  <c r="AM57" i="13" s="1"/>
  <c r="M58" i="13"/>
  <c r="O58" i="13" s="1"/>
  <c r="M59" i="13"/>
  <c r="O59" i="13" s="1"/>
  <c r="AK59" i="13"/>
  <c r="AM59" i="13" s="1"/>
  <c r="M60" i="13"/>
  <c r="O60" i="13" s="1"/>
  <c r="L61" i="13"/>
  <c r="N61" i="13" s="1"/>
  <c r="AK61" i="13"/>
  <c r="AM61" i="13" s="1"/>
  <c r="AJ62" i="13"/>
  <c r="AL62" i="13" s="1"/>
  <c r="AK63" i="13"/>
  <c r="AM63" i="13" s="1"/>
  <c r="M64" i="13"/>
  <c r="O64" i="13" s="1"/>
  <c r="L65" i="13"/>
  <c r="N65" i="13" s="1"/>
  <c r="E95" i="13"/>
  <c r="G95" i="13" s="1"/>
  <c r="E97" i="13"/>
  <c r="G97" i="13" s="1"/>
  <c r="D99" i="13"/>
  <c r="F99" i="13" s="1"/>
  <c r="E100" i="13"/>
  <c r="G100" i="13" s="1"/>
  <c r="E9" i="2"/>
  <c r="Q26" i="14" s="1"/>
  <c r="E17" i="2"/>
  <c r="I67" i="14" s="1"/>
  <c r="E25" i="2"/>
  <c r="A106" i="14" s="1"/>
  <c r="AJ17" i="14"/>
  <c r="L18" i="14"/>
  <c r="U18" i="14"/>
  <c r="E19" i="14"/>
  <c r="U19" i="14"/>
  <c r="AK19" i="14"/>
  <c r="M20" i="14"/>
  <c r="AK20" i="14"/>
  <c r="M21" i="14"/>
  <c r="AK21" i="14"/>
  <c r="M22" i="14"/>
  <c r="E23" i="14"/>
  <c r="E24" i="14"/>
  <c r="E63" i="14"/>
  <c r="M9" i="3"/>
  <c r="E31" i="15" s="1"/>
  <c r="M17" i="3"/>
  <c r="AC27" i="15" s="1"/>
  <c r="M25" i="3"/>
  <c r="U69" i="15" s="1"/>
  <c r="M33" i="3"/>
  <c r="M109" i="15" s="1"/>
  <c r="M41" i="3"/>
  <c r="E11" i="4"/>
  <c r="Y22" i="16" s="1"/>
  <c r="E19" i="4"/>
  <c r="Q62" i="16" s="1"/>
  <c r="E27" i="4"/>
  <c r="I100" i="16" s="1"/>
  <c r="E57" i="16"/>
  <c r="G57" i="16" s="1"/>
  <c r="I11" i="6"/>
  <c r="I19" i="6"/>
  <c r="I27" i="6"/>
  <c r="I35" i="6"/>
  <c r="I43" i="6"/>
  <c r="I55" i="6"/>
  <c r="N61" i="6"/>
  <c r="M11" i="5"/>
  <c r="AC19" i="12" s="1"/>
  <c r="I15" i="5"/>
  <c r="I23" i="5"/>
  <c r="M31" i="5"/>
  <c r="AC109" i="12" s="1"/>
  <c r="M35" i="5"/>
  <c r="E153" i="12" s="1"/>
  <c r="I39" i="5"/>
  <c r="I47" i="5"/>
  <c r="O146" i="12"/>
  <c r="M143" i="12"/>
  <c r="O143" i="12" s="1"/>
  <c r="M142" i="12"/>
  <c r="O142" i="12" s="1"/>
  <c r="M141" i="12"/>
  <c r="O141" i="12" s="1"/>
  <c r="M140" i="12"/>
  <c r="O140" i="12" s="1"/>
  <c r="M139" i="12"/>
  <c r="O139" i="12" s="1"/>
  <c r="M138" i="12"/>
  <c r="O138" i="12" s="1"/>
  <c r="G149" i="12"/>
  <c r="E144" i="12"/>
  <c r="G144" i="12" s="1"/>
  <c r="D142" i="12"/>
  <c r="F142" i="12" s="1"/>
  <c r="E141" i="12"/>
  <c r="G141" i="12" s="1"/>
  <c r="E139" i="12"/>
  <c r="G139" i="12" s="1"/>
  <c r="E11" i="6"/>
  <c r="Y18" i="11" s="1"/>
  <c r="M11" i="6"/>
  <c r="AC18" i="11" s="1"/>
  <c r="I15" i="6"/>
  <c r="E19" i="6"/>
  <c r="Q62" i="11" s="1"/>
  <c r="M19" i="6"/>
  <c r="U62" i="11" s="1"/>
  <c r="I23" i="6"/>
  <c r="E27" i="6"/>
  <c r="I105" i="11" s="1"/>
  <c r="M27" i="6"/>
  <c r="M105" i="11" s="1"/>
  <c r="I31" i="6"/>
  <c r="E35" i="6"/>
  <c r="A145" i="11" s="1"/>
  <c r="M35" i="6"/>
  <c r="E145" i="11" s="1"/>
  <c r="I39" i="6"/>
  <c r="E43" i="6"/>
  <c r="AG145" i="11" s="1"/>
  <c r="M43" i="6"/>
  <c r="AK145" i="11" s="1"/>
  <c r="I47" i="6"/>
  <c r="N53" i="6"/>
  <c r="E55" i="6"/>
  <c r="A230" i="11" s="1"/>
  <c r="M55" i="6"/>
  <c r="E230" i="11" s="1"/>
  <c r="F61" i="6"/>
  <c r="R228" i="11" s="1"/>
  <c r="I63" i="6"/>
  <c r="T13" i="11"/>
  <c r="V13" i="11" s="1"/>
  <c r="T14" i="11"/>
  <c r="V14" i="11" s="1"/>
  <c r="T15" i="11"/>
  <c r="V15" i="11" s="1"/>
  <c r="E54" i="11"/>
  <c r="G54" i="11" s="1"/>
  <c r="I7" i="5"/>
  <c r="I11" i="5"/>
  <c r="E15" i="5"/>
  <c r="A67" i="12" s="1"/>
  <c r="M15" i="5"/>
  <c r="E67" i="12" s="1"/>
  <c r="I19" i="5"/>
  <c r="E23" i="5"/>
  <c r="AG65" i="12" s="1"/>
  <c r="M23" i="5"/>
  <c r="AK65" i="12" s="1"/>
  <c r="I27" i="5"/>
  <c r="I31" i="5"/>
  <c r="I35" i="5"/>
  <c r="E39" i="5"/>
  <c r="Q155" i="12" s="1"/>
  <c r="M39" i="5"/>
  <c r="U155" i="12" s="1"/>
  <c r="I43" i="5"/>
  <c r="E47" i="5"/>
  <c r="A188" i="12" s="1"/>
  <c r="M47" i="5"/>
  <c r="E188" i="12" s="1"/>
  <c r="K51" i="5"/>
  <c r="E13" i="12"/>
  <c r="G13" i="12" s="1"/>
  <c r="L13" i="12"/>
  <c r="N13" i="12" s="1"/>
  <c r="AB13" i="12"/>
  <c r="AD13" i="12" s="1"/>
  <c r="AK13" i="12"/>
  <c r="AM13" i="12" s="1"/>
  <c r="E14" i="12"/>
  <c r="G14" i="12" s="1"/>
  <c r="M14" i="12"/>
  <c r="O14" i="12" s="1"/>
  <c r="AK14" i="12"/>
  <c r="AM14" i="12" s="1"/>
  <c r="E15" i="12"/>
  <c r="G15" i="12" s="1"/>
  <c r="M15" i="12"/>
  <c r="O15" i="12" s="1"/>
  <c r="AJ15" i="12"/>
  <c r="AL15" i="12" s="1"/>
  <c r="D16" i="12"/>
  <c r="F16" i="12" s="1"/>
  <c r="L16" i="12"/>
  <c r="N16" i="12" s="1"/>
  <c r="T16" i="12"/>
  <c r="V16" i="12" s="1"/>
  <c r="AK16" i="12"/>
  <c r="AM16" i="12" s="1"/>
  <c r="E17" i="12"/>
  <c r="G17" i="12" s="1"/>
  <c r="AK17" i="12"/>
  <c r="AM17" i="12" s="1"/>
  <c r="E18" i="12"/>
  <c r="G18" i="12" s="1"/>
  <c r="U18" i="12"/>
  <c r="W18" i="12" s="1"/>
  <c r="AK18" i="12"/>
  <c r="AM18" i="12" s="1"/>
  <c r="AK19" i="12"/>
  <c r="AM19" i="12" s="1"/>
  <c r="E20" i="12"/>
  <c r="G20" i="12" s="1"/>
  <c r="AK20" i="12"/>
  <c r="AM20" i="12" s="1"/>
  <c r="E21" i="12"/>
  <c r="G21" i="12" s="1"/>
  <c r="E22" i="12"/>
  <c r="G22" i="12" s="1"/>
  <c r="E23" i="12"/>
  <c r="G23" i="12" s="1"/>
  <c r="E24" i="12"/>
  <c r="G24" i="12" s="1"/>
  <c r="E25" i="12"/>
  <c r="G25" i="12" s="1"/>
  <c r="AC56" i="12"/>
  <c r="AE56" i="12" s="1"/>
  <c r="AB57" i="12"/>
  <c r="AD57" i="12" s="1"/>
  <c r="AC58" i="12"/>
  <c r="AE58" i="12" s="1"/>
  <c r="AC59" i="12"/>
  <c r="AE59" i="12" s="1"/>
  <c r="M98" i="12"/>
  <c r="O98" i="12" s="1"/>
  <c r="L99" i="12"/>
  <c r="N99" i="12" s="1"/>
  <c r="T99" i="12"/>
  <c r="V99" i="12" s="1"/>
  <c r="AC99" i="12"/>
  <c r="AE99" i="12" s="1"/>
  <c r="U100" i="12"/>
  <c r="W100" i="12" s="1"/>
  <c r="AC100" i="12"/>
  <c r="AE100" i="12" s="1"/>
  <c r="AK100" i="12"/>
  <c r="AM100" i="12" s="1"/>
  <c r="L101" i="12"/>
  <c r="N101" i="12" s="1"/>
  <c r="T101" i="12"/>
  <c r="V101" i="12" s="1"/>
  <c r="AK101" i="12"/>
  <c r="AM101" i="12" s="1"/>
  <c r="M102" i="12"/>
  <c r="O102" i="12" s="1"/>
  <c r="AJ102" i="12"/>
  <c r="AL102" i="12" s="1"/>
  <c r="AB103" i="12"/>
  <c r="AD103" i="12" s="1"/>
  <c r="AJ103" i="12"/>
  <c r="AL103" i="12" s="1"/>
  <c r="AB104" i="12"/>
  <c r="AD104" i="12" s="1"/>
  <c r="AJ104" i="12"/>
  <c r="AL104" i="12" s="1"/>
  <c r="AK106" i="12"/>
  <c r="AM106" i="12" s="1"/>
  <c r="L143" i="12"/>
  <c r="N143" i="12" s="1"/>
  <c r="E145" i="12"/>
  <c r="G145" i="12" s="1"/>
  <c r="E146" i="12"/>
  <c r="G146" i="12" s="1"/>
  <c r="AM147" i="12"/>
  <c r="AK145" i="12"/>
  <c r="AM145" i="12" s="1"/>
  <c r="AK144" i="12"/>
  <c r="AM144" i="12" s="1"/>
  <c r="AK143" i="12"/>
  <c r="AM143" i="12" s="1"/>
  <c r="AK142" i="12"/>
  <c r="AM142" i="12" s="1"/>
  <c r="AJ141" i="12"/>
  <c r="AL141" i="12" s="1"/>
  <c r="AK140" i="12"/>
  <c r="AM140" i="12" s="1"/>
  <c r="AK138" i="12"/>
  <c r="AM138" i="12" s="1"/>
  <c r="I5" i="2"/>
  <c r="I13" i="2"/>
  <c r="I21" i="2"/>
  <c r="I5" i="3"/>
  <c r="I13" i="3"/>
  <c r="I21" i="3"/>
  <c r="I29" i="3"/>
  <c r="I37" i="3"/>
  <c r="I45" i="3"/>
  <c r="I7" i="4"/>
  <c r="I15" i="4"/>
  <c r="I23" i="4"/>
  <c r="D179" i="12"/>
  <c r="F179" i="12" s="1"/>
  <c r="AB179" i="12"/>
  <c r="AD179" i="12" s="1"/>
  <c r="AB181" i="12"/>
  <c r="AD181" i="12" s="1"/>
  <c r="AB183" i="12"/>
  <c r="AD183" i="12" s="1"/>
  <c r="D59" i="13"/>
  <c r="F59" i="13" s="1"/>
  <c r="E5" i="2"/>
  <c r="A30" i="14" s="1"/>
  <c r="M5" i="2"/>
  <c r="E30" i="14" s="1"/>
  <c r="I9" i="2"/>
  <c r="E13" i="2"/>
  <c r="AG26" i="14" s="1"/>
  <c r="M13" i="2"/>
  <c r="AK26" i="14" s="1"/>
  <c r="I17" i="2"/>
  <c r="E21" i="2"/>
  <c r="Y66" i="14" s="1"/>
  <c r="M21" i="2"/>
  <c r="AC66" i="14" s="1"/>
  <c r="I25" i="2"/>
  <c r="AC17" i="14"/>
  <c r="AC18" i="14"/>
  <c r="AC20" i="14"/>
  <c r="T60" i="14"/>
  <c r="AK61" i="14"/>
  <c r="E100" i="14"/>
  <c r="E5" i="3"/>
  <c r="A23" i="15" s="1"/>
  <c r="M5" i="3"/>
  <c r="E23" i="15" s="1"/>
  <c r="I9" i="3"/>
  <c r="E13" i="3"/>
  <c r="I27" i="15" s="1"/>
  <c r="M13" i="3"/>
  <c r="M27" i="15" s="1"/>
  <c r="I17" i="3"/>
  <c r="E21" i="3"/>
  <c r="A69" i="15" s="1"/>
  <c r="M21" i="3"/>
  <c r="E69" i="15" s="1"/>
  <c r="I25" i="3"/>
  <c r="E29" i="3"/>
  <c r="AG69" i="15" s="1"/>
  <c r="M29" i="3"/>
  <c r="AK69" i="15" s="1"/>
  <c r="I33" i="3"/>
  <c r="E37" i="3"/>
  <c r="Y110" i="15" s="1"/>
  <c r="M37" i="3"/>
  <c r="AC110" i="15" s="1"/>
  <c r="I41" i="3"/>
  <c r="E45" i="3"/>
  <c r="M45" i="3"/>
  <c r="E7" i="4"/>
  <c r="I21" i="16" s="1"/>
  <c r="M7" i="4"/>
  <c r="M21" i="16" s="1"/>
  <c r="I11" i="4"/>
  <c r="E15" i="4"/>
  <c r="A62" i="16" s="1"/>
  <c r="M15" i="4"/>
  <c r="E62" i="16" s="1"/>
  <c r="I19" i="4"/>
  <c r="E23" i="4"/>
  <c r="AG62" i="16" s="1"/>
  <c r="M23" i="4"/>
  <c r="AK62" i="16" s="1"/>
  <c r="I27" i="4"/>
  <c r="I11" i="7"/>
  <c r="E5" i="6"/>
  <c r="A20" i="11" s="1"/>
  <c r="I5" i="6"/>
  <c r="M5" i="6"/>
  <c r="E20" i="11" s="1"/>
  <c r="G11" i="6"/>
  <c r="AA18" i="11" s="1"/>
  <c r="K11" i="6"/>
  <c r="O11" i="6"/>
  <c r="AD18" i="11" s="1"/>
  <c r="G15" i="6"/>
  <c r="C59" i="11" s="1"/>
  <c r="K15" i="6"/>
  <c r="O15" i="6"/>
  <c r="F59" i="11" s="1"/>
  <c r="G19" i="6"/>
  <c r="S62" i="11" s="1"/>
  <c r="K19" i="6"/>
  <c r="O19" i="6"/>
  <c r="V62" i="11" s="1"/>
  <c r="G23" i="6"/>
  <c r="AI63" i="11" s="1"/>
  <c r="K23" i="6"/>
  <c r="O23" i="6"/>
  <c r="AL63" i="11" s="1"/>
  <c r="G27" i="6"/>
  <c r="K105" i="11" s="1"/>
  <c r="K27" i="6"/>
  <c r="O27" i="6"/>
  <c r="N105" i="11" s="1"/>
  <c r="G31" i="6"/>
  <c r="AA104" i="11" s="1"/>
  <c r="K31" i="6"/>
  <c r="O31" i="6"/>
  <c r="AD104" i="11" s="1"/>
  <c r="G35" i="6"/>
  <c r="C145" i="11" s="1"/>
  <c r="K35" i="6"/>
  <c r="O35" i="6"/>
  <c r="F145" i="11" s="1"/>
  <c r="G39" i="6"/>
  <c r="S148" i="11" s="1"/>
  <c r="K39" i="6"/>
  <c r="O39" i="6"/>
  <c r="V148" i="11" s="1"/>
  <c r="G43" i="6"/>
  <c r="AI145" i="11" s="1"/>
  <c r="K43" i="6"/>
  <c r="O43" i="6"/>
  <c r="AL145" i="11" s="1"/>
  <c r="G47" i="6"/>
  <c r="K186" i="11" s="1"/>
  <c r="K47" i="6"/>
  <c r="O47" i="6"/>
  <c r="N186" i="11" s="1"/>
  <c r="F49" i="6"/>
  <c r="R184" i="11" s="1"/>
  <c r="N49" i="6"/>
  <c r="E51" i="6"/>
  <c r="Y184" i="11" s="1"/>
  <c r="I51" i="6"/>
  <c r="M51" i="6"/>
  <c r="AC184" i="11" s="1"/>
  <c r="G55" i="6"/>
  <c r="C230" i="11" s="1"/>
  <c r="K55" i="6"/>
  <c r="O55" i="6"/>
  <c r="F230" i="11" s="1"/>
  <c r="F57" i="6"/>
  <c r="J224" i="11" s="1"/>
  <c r="N57" i="6"/>
  <c r="E59" i="6"/>
  <c r="Q224" i="11" s="1"/>
  <c r="I59" i="6"/>
  <c r="M59" i="6"/>
  <c r="U224" i="11" s="1"/>
  <c r="G63" i="6"/>
  <c r="AA227" i="11" s="1"/>
  <c r="K63" i="6"/>
  <c r="O63" i="6"/>
  <c r="AD227" i="11" s="1"/>
  <c r="F65" i="6"/>
  <c r="AH223" i="11" s="1"/>
  <c r="N65" i="6"/>
  <c r="E67" i="6"/>
  <c r="A266" i="11" s="1"/>
  <c r="I67" i="6"/>
  <c r="M67" i="6"/>
  <c r="E266" i="11" s="1"/>
  <c r="E71" i="6"/>
  <c r="I274" i="11" s="1"/>
  <c r="I71" i="6"/>
  <c r="M71" i="6"/>
  <c r="M274" i="11" s="1"/>
  <c r="E75" i="6"/>
  <c r="I75" i="6"/>
  <c r="M75" i="6"/>
  <c r="E79" i="6"/>
  <c r="Q269" i="11" s="1"/>
  <c r="I79" i="6"/>
  <c r="M79" i="6"/>
  <c r="U269" i="11" s="1"/>
  <c r="E13" i="11"/>
  <c r="G13" i="11" s="1"/>
  <c r="M13" i="11"/>
  <c r="O13" i="11" s="1"/>
  <c r="AC13" i="11"/>
  <c r="AE13" i="11" s="1"/>
  <c r="AK13" i="11"/>
  <c r="AM13" i="11" s="1"/>
  <c r="E14" i="11"/>
  <c r="G14" i="11" s="1"/>
  <c r="M14" i="11"/>
  <c r="O14" i="11" s="1"/>
  <c r="E15" i="11"/>
  <c r="G15" i="11" s="1"/>
  <c r="G5" i="6"/>
  <c r="C20" i="11" s="1"/>
  <c r="K5" i="6"/>
  <c r="O5" i="6"/>
  <c r="F20" i="11" s="1"/>
  <c r="G51" i="6"/>
  <c r="AA184" i="11" s="1"/>
  <c r="K51" i="6"/>
  <c r="O51" i="6"/>
  <c r="AD184" i="11" s="1"/>
  <c r="G59" i="6"/>
  <c r="S224" i="11" s="1"/>
  <c r="K59" i="6"/>
  <c r="O59" i="6"/>
  <c r="V224" i="11" s="1"/>
  <c r="G67" i="6"/>
  <c r="C266" i="11" s="1"/>
  <c r="K67" i="6"/>
  <c r="O67" i="6"/>
  <c r="F266" i="11" s="1"/>
  <c r="G71" i="6"/>
  <c r="K274" i="11" s="1"/>
  <c r="K71" i="6"/>
  <c r="O71" i="6"/>
  <c r="N274" i="11" s="1"/>
  <c r="G75" i="6"/>
  <c r="K75" i="6"/>
  <c r="O75" i="6"/>
  <c r="G79" i="6"/>
  <c r="S269" i="11" s="1"/>
  <c r="K79" i="6"/>
  <c r="O79" i="6"/>
  <c r="V269" i="11" s="1"/>
  <c r="U259" i="11"/>
  <c r="W259" i="11" s="1"/>
  <c r="T260" i="11"/>
  <c r="V260" i="11" s="1"/>
  <c r="G7" i="5"/>
  <c r="K22" i="12" s="1"/>
  <c r="K7" i="5"/>
  <c r="O7" i="5"/>
  <c r="N22" i="12" s="1"/>
  <c r="K11" i="5"/>
  <c r="O11" i="5"/>
  <c r="AD19" i="12" s="1"/>
  <c r="G15" i="5"/>
  <c r="C67" i="12" s="1"/>
  <c r="K15" i="5"/>
  <c r="O15" i="5"/>
  <c r="F67" i="12" s="1"/>
  <c r="G19" i="5"/>
  <c r="S68" i="12" s="1"/>
  <c r="K19" i="5"/>
  <c r="O19" i="5"/>
  <c r="V68" i="12" s="1"/>
  <c r="G23" i="5"/>
  <c r="AI65" i="12" s="1"/>
  <c r="K23" i="5"/>
  <c r="O23" i="5"/>
  <c r="AL65" i="12" s="1"/>
  <c r="G27" i="5"/>
  <c r="K107" i="12" s="1"/>
  <c r="K27" i="5"/>
  <c r="O27" i="5"/>
  <c r="N107" i="12" s="1"/>
  <c r="K31" i="5"/>
  <c r="O31" i="5"/>
  <c r="AD109" i="12" s="1"/>
  <c r="K35" i="5"/>
  <c r="O35" i="5"/>
  <c r="F153" i="12" s="1"/>
  <c r="G39" i="5"/>
  <c r="S155" i="12" s="1"/>
  <c r="K39" i="5"/>
  <c r="O39" i="5"/>
  <c r="V155" i="12" s="1"/>
  <c r="G43" i="5"/>
  <c r="AA148" i="12" s="1"/>
  <c r="K43" i="5"/>
  <c r="O43" i="5"/>
  <c r="AD148" i="12" s="1"/>
  <c r="G47" i="5"/>
  <c r="C188" i="12" s="1"/>
  <c r="K47" i="5"/>
  <c r="O47" i="5"/>
  <c r="F188" i="12" s="1"/>
  <c r="I51" i="5"/>
  <c r="M51" i="5"/>
  <c r="U192" i="12" s="1"/>
  <c r="AC185" i="12"/>
  <c r="AE185" i="12" s="1"/>
  <c r="AC186" i="12"/>
  <c r="AE186" i="12" s="1"/>
  <c r="E5" i="1"/>
  <c r="A25" i="13" s="1"/>
  <c r="I5" i="1"/>
  <c r="M5" i="1"/>
  <c r="E25" i="13" s="1"/>
  <c r="E9" i="1"/>
  <c r="I24" i="13" s="1"/>
  <c r="I9" i="1"/>
  <c r="M9" i="1"/>
  <c r="M24" i="13" s="1"/>
  <c r="E13" i="1"/>
  <c r="Y25" i="13" s="1"/>
  <c r="I13" i="1"/>
  <c r="M13" i="1"/>
  <c r="AC25" i="13" s="1"/>
  <c r="E17" i="1"/>
  <c r="A70" i="13" s="1"/>
  <c r="I17" i="1"/>
  <c r="M17" i="1"/>
  <c r="E70" i="13" s="1"/>
  <c r="E21" i="1"/>
  <c r="Q60" i="13" s="1"/>
  <c r="I21" i="1"/>
  <c r="M21" i="1"/>
  <c r="U60" i="13" s="1"/>
  <c r="E25" i="1"/>
  <c r="AG69" i="13" s="1"/>
  <c r="I25" i="1"/>
  <c r="M25" i="1"/>
  <c r="AK69" i="13" s="1"/>
  <c r="E33" i="1"/>
  <c r="Y104" i="13" s="1"/>
  <c r="I33" i="1"/>
  <c r="M33" i="1"/>
  <c r="AC104" i="13" s="1"/>
  <c r="E37" i="1"/>
  <c r="A155" i="13" s="1"/>
  <c r="I37" i="1"/>
  <c r="M37" i="1"/>
  <c r="E155" i="13" s="1"/>
  <c r="AK60" i="13"/>
  <c r="AM60" i="13" s="1"/>
  <c r="M61" i="13"/>
  <c r="O61" i="13" s="1"/>
  <c r="M62" i="13"/>
  <c r="O62" i="13" s="1"/>
  <c r="AK62" i="13"/>
  <c r="AM62" i="13" s="1"/>
  <c r="M63" i="13"/>
  <c r="O63" i="13" s="1"/>
  <c r="M65" i="13"/>
  <c r="O65" i="13" s="1"/>
  <c r="O51" i="5"/>
  <c r="V192" i="12" s="1"/>
  <c r="G5" i="1"/>
  <c r="C25" i="13" s="1"/>
  <c r="K5" i="1"/>
  <c r="O5" i="1"/>
  <c r="F25" i="13" s="1"/>
  <c r="G9" i="1"/>
  <c r="K24" i="13" s="1"/>
  <c r="K9" i="1"/>
  <c r="O9" i="1"/>
  <c r="N24" i="13" s="1"/>
  <c r="G13" i="1"/>
  <c r="AA25" i="13" s="1"/>
  <c r="K13" i="1"/>
  <c r="O13" i="1"/>
  <c r="AD25" i="13" s="1"/>
  <c r="G17" i="1"/>
  <c r="C70" i="13" s="1"/>
  <c r="K17" i="1"/>
  <c r="O17" i="1"/>
  <c r="F70" i="13" s="1"/>
  <c r="G21" i="1"/>
  <c r="S60" i="13" s="1"/>
  <c r="K21" i="1"/>
  <c r="O21" i="1"/>
  <c r="V60" i="13" s="1"/>
  <c r="G25" i="1"/>
  <c r="AI69" i="13" s="1"/>
  <c r="K25" i="1"/>
  <c r="O25" i="1"/>
  <c r="AL69" i="13" s="1"/>
  <c r="G33" i="1"/>
  <c r="AA104" i="13" s="1"/>
  <c r="K33" i="1"/>
  <c r="O33" i="1"/>
  <c r="AD104" i="13" s="1"/>
  <c r="G37" i="1"/>
  <c r="C155" i="13" s="1"/>
  <c r="K37" i="1"/>
  <c r="O37" i="1"/>
  <c r="F155" i="13" s="1"/>
  <c r="G106" i="13"/>
  <c r="E102" i="13"/>
  <c r="G102" i="13" s="1"/>
  <c r="I51" i="3"/>
  <c r="M51" i="3"/>
  <c r="E31" i="4"/>
  <c r="Y102" i="16" s="1"/>
  <c r="I31" i="4"/>
  <c r="N31" i="4"/>
  <c r="E33" i="4"/>
  <c r="I33" i="4"/>
  <c r="M33" i="4"/>
  <c r="G5" i="2"/>
  <c r="C30" i="14" s="1"/>
  <c r="K5" i="2"/>
  <c r="O5" i="2"/>
  <c r="F30" i="14" s="1"/>
  <c r="G9" i="2"/>
  <c r="S26" i="14" s="1"/>
  <c r="K9" i="2"/>
  <c r="O9" i="2"/>
  <c r="V26" i="14" s="1"/>
  <c r="G13" i="2"/>
  <c r="AI26" i="14" s="1"/>
  <c r="K13" i="2"/>
  <c r="O13" i="2"/>
  <c r="AL26" i="14" s="1"/>
  <c r="G17" i="2"/>
  <c r="K67" i="14" s="1"/>
  <c r="K17" i="2"/>
  <c r="O17" i="2"/>
  <c r="N67" i="14" s="1"/>
  <c r="G21" i="2"/>
  <c r="AA66" i="14" s="1"/>
  <c r="K21" i="2"/>
  <c r="O21" i="2"/>
  <c r="AD66" i="14" s="1"/>
  <c r="G25" i="2"/>
  <c r="C106" i="14" s="1"/>
  <c r="K25" i="2"/>
  <c r="O25" i="2"/>
  <c r="F106" i="14" s="1"/>
  <c r="AC21" i="14"/>
  <c r="E25" i="14"/>
  <c r="AJ60" i="14"/>
  <c r="AC61" i="14"/>
  <c r="AK62" i="14"/>
  <c r="E96" i="14"/>
  <c r="G5" i="3"/>
  <c r="C23" i="15" s="1"/>
  <c r="K5" i="3"/>
  <c r="O5" i="3"/>
  <c r="F23" i="15" s="1"/>
  <c r="G9" i="3"/>
  <c r="C31" i="15" s="1"/>
  <c r="K9" i="3"/>
  <c r="O9" i="3"/>
  <c r="F31" i="15" s="1"/>
  <c r="G13" i="3"/>
  <c r="K27" i="15" s="1"/>
  <c r="K13" i="3"/>
  <c r="O13" i="3"/>
  <c r="N27" i="15" s="1"/>
  <c r="G17" i="3"/>
  <c r="AA27" i="15" s="1"/>
  <c r="K17" i="3"/>
  <c r="O17" i="3"/>
  <c r="AD27" i="15" s="1"/>
  <c r="G21" i="3"/>
  <c r="C69" i="15" s="1"/>
  <c r="K21" i="3"/>
  <c r="O21" i="3"/>
  <c r="F69" i="15" s="1"/>
  <c r="G25" i="3"/>
  <c r="S69" i="15" s="1"/>
  <c r="K25" i="3"/>
  <c r="O25" i="3"/>
  <c r="V69" i="15" s="1"/>
  <c r="G29" i="3"/>
  <c r="AI69" i="15" s="1"/>
  <c r="K29" i="3"/>
  <c r="O29" i="3"/>
  <c r="AL69" i="15" s="1"/>
  <c r="G33" i="3"/>
  <c r="K109" i="15" s="1"/>
  <c r="K33" i="3"/>
  <c r="O33" i="3"/>
  <c r="N109" i="15" s="1"/>
  <c r="G37" i="3"/>
  <c r="AA110" i="15" s="1"/>
  <c r="K37" i="3"/>
  <c r="O37" i="3"/>
  <c r="AD110" i="15" s="1"/>
  <c r="G41" i="3"/>
  <c r="K41" i="3"/>
  <c r="O41" i="3"/>
  <c r="G45" i="3"/>
  <c r="K45" i="3"/>
  <c r="O45" i="3"/>
  <c r="E51" i="3"/>
  <c r="K51" i="3"/>
  <c r="O51" i="3"/>
  <c r="G7" i="4"/>
  <c r="K21" i="16" s="1"/>
  <c r="K7" i="4"/>
  <c r="O7" i="4"/>
  <c r="N21" i="16" s="1"/>
  <c r="G11" i="4"/>
  <c r="AA22" i="16" s="1"/>
  <c r="K11" i="4"/>
  <c r="O11" i="4"/>
  <c r="AD22" i="16" s="1"/>
  <c r="G15" i="4"/>
  <c r="C62" i="16" s="1"/>
  <c r="K15" i="4"/>
  <c r="O15" i="4"/>
  <c r="F62" i="16" s="1"/>
  <c r="G19" i="4"/>
  <c r="S62" i="16" s="1"/>
  <c r="K19" i="4"/>
  <c r="O19" i="4"/>
  <c r="V62" i="16" s="1"/>
  <c r="G23" i="4"/>
  <c r="AI62" i="16" s="1"/>
  <c r="K23" i="4"/>
  <c r="O23" i="4"/>
  <c r="AL62" i="16" s="1"/>
  <c r="G27" i="4"/>
  <c r="K100" i="16" s="1"/>
  <c r="K27" i="4"/>
  <c r="O27" i="4"/>
  <c r="N100" i="16" s="1"/>
  <c r="G31" i="4"/>
  <c r="AA102" i="16" s="1"/>
  <c r="G33" i="4"/>
  <c r="K33" i="4"/>
  <c r="O33" i="4"/>
  <c r="W148" i="11"/>
  <c r="F14" i="17"/>
  <c r="F5" i="6"/>
  <c r="B20" i="11" s="1"/>
  <c r="H5" i="6"/>
  <c r="D20" i="11" s="1"/>
  <c r="J5" i="6"/>
  <c r="H20" i="11" s="1"/>
  <c r="L5" i="6"/>
  <c r="N5" i="6"/>
  <c r="F7" i="6"/>
  <c r="J19" i="11" s="1"/>
  <c r="H7" i="6"/>
  <c r="L19" i="11" s="1"/>
  <c r="J7" i="6"/>
  <c r="P19" i="11" s="1"/>
  <c r="L7" i="6"/>
  <c r="N7" i="6"/>
  <c r="P7" i="6"/>
  <c r="O19" i="11" s="1"/>
  <c r="E9" i="6"/>
  <c r="Q20" i="11" s="1"/>
  <c r="G9" i="6"/>
  <c r="S20" i="11" s="1"/>
  <c r="I9" i="6"/>
  <c r="K9" i="6"/>
  <c r="M9" i="6"/>
  <c r="U20" i="11" s="1"/>
  <c r="O9" i="6"/>
  <c r="V20" i="11" s="1"/>
  <c r="F11" i="6"/>
  <c r="Z18" i="11" s="1"/>
  <c r="H11" i="6"/>
  <c r="AB18" i="11" s="1"/>
  <c r="J11" i="6"/>
  <c r="AF18" i="11" s="1"/>
  <c r="L11" i="6"/>
  <c r="N11" i="6"/>
  <c r="E13" i="6"/>
  <c r="AG18" i="11" s="1"/>
  <c r="G13" i="6"/>
  <c r="AI18" i="11" s="1"/>
  <c r="I13" i="6"/>
  <c r="K13" i="6"/>
  <c r="M13" i="6"/>
  <c r="AK18" i="11" s="1"/>
  <c r="O13" i="6"/>
  <c r="AL18" i="11" s="1"/>
  <c r="F15" i="6"/>
  <c r="B59" i="11" s="1"/>
  <c r="H15" i="6"/>
  <c r="D59" i="11" s="1"/>
  <c r="J15" i="6"/>
  <c r="H59" i="11" s="1"/>
  <c r="L15" i="6"/>
  <c r="N15" i="6"/>
  <c r="E17" i="6"/>
  <c r="I60" i="11" s="1"/>
  <c r="G17" i="6"/>
  <c r="K60" i="11" s="1"/>
  <c r="I17" i="6"/>
  <c r="K17" i="6"/>
  <c r="M17" i="6"/>
  <c r="M60" i="11" s="1"/>
  <c r="O17" i="6"/>
  <c r="N60" i="11" s="1"/>
  <c r="F19" i="6"/>
  <c r="R62" i="11" s="1"/>
  <c r="H19" i="6"/>
  <c r="T62" i="11" s="1"/>
  <c r="J19" i="6"/>
  <c r="X62" i="11" s="1"/>
  <c r="L19" i="6"/>
  <c r="N19" i="6"/>
  <c r="E21" i="6"/>
  <c r="Y62" i="11" s="1"/>
  <c r="G21" i="6"/>
  <c r="AA62" i="11" s="1"/>
  <c r="I21" i="6"/>
  <c r="K21" i="6"/>
  <c r="M21" i="6"/>
  <c r="AC62" i="11" s="1"/>
  <c r="O21" i="6"/>
  <c r="AD62" i="11" s="1"/>
  <c r="F23" i="6"/>
  <c r="AH63" i="11" s="1"/>
  <c r="H23" i="6"/>
  <c r="AJ63" i="11" s="1"/>
  <c r="J23" i="6"/>
  <c r="AN63" i="11" s="1"/>
  <c r="L23" i="6"/>
  <c r="N23" i="6"/>
  <c r="E25" i="6"/>
  <c r="A104" i="11" s="1"/>
  <c r="G25" i="6"/>
  <c r="C104" i="11" s="1"/>
  <c r="I25" i="6"/>
  <c r="K25" i="6"/>
  <c r="M25" i="6"/>
  <c r="E104" i="11" s="1"/>
  <c r="O25" i="6"/>
  <c r="F104" i="11" s="1"/>
  <c r="F27" i="6"/>
  <c r="J105" i="11" s="1"/>
  <c r="H27" i="6"/>
  <c r="L105" i="11" s="1"/>
  <c r="J27" i="6"/>
  <c r="P105" i="11" s="1"/>
  <c r="L27" i="6"/>
  <c r="N27" i="6"/>
  <c r="E29" i="6"/>
  <c r="Q106" i="11" s="1"/>
  <c r="G29" i="6"/>
  <c r="S106" i="11" s="1"/>
  <c r="I29" i="6"/>
  <c r="K29" i="6"/>
  <c r="M29" i="6"/>
  <c r="U106" i="11" s="1"/>
  <c r="O29" i="6"/>
  <c r="V106" i="11" s="1"/>
  <c r="F31" i="6"/>
  <c r="Z104" i="11" s="1"/>
  <c r="H31" i="6"/>
  <c r="AB104" i="11" s="1"/>
  <c r="J31" i="6"/>
  <c r="AF104" i="11" s="1"/>
  <c r="L31" i="6"/>
  <c r="N31" i="6"/>
  <c r="E33" i="6"/>
  <c r="AG104" i="11" s="1"/>
  <c r="G33" i="6"/>
  <c r="AI104" i="11" s="1"/>
  <c r="I33" i="6"/>
  <c r="K33" i="6"/>
  <c r="M33" i="6"/>
  <c r="AK104" i="11" s="1"/>
  <c r="O33" i="6"/>
  <c r="AL104" i="11" s="1"/>
  <c r="F35" i="6"/>
  <c r="B145" i="11" s="1"/>
  <c r="H35" i="6"/>
  <c r="D145" i="11" s="1"/>
  <c r="J35" i="6"/>
  <c r="H145" i="11" s="1"/>
  <c r="L35" i="6"/>
  <c r="N35" i="6"/>
  <c r="E37" i="6"/>
  <c r="I146" i="11" s="1"/>
  <c r="G37" i="6"/>
  <c r="K146" i="11" s="1"/>
  <c r="I37" i="6"/>
  <c r="K37" i="6"/>
  <c r="M37" i="6"/>
  <c r="M146" i="11" s="1"/>
  <c r="O37" i="6"/>
  <c r="N146" i="11" s="1"/>
  <c r="F39" i="6"/>
  <c r="R148" i="11" s="1"/>
  <c r="H39" i="6"/>
  <c r="T148" i="11" s="1"/>
  <c r="J39" i="6"/>
  <c r="X148" i="11" s="1"/>
  <c r="L39" i="6"/>
  <c r="N39" i="6"/>
  <c r="E41" i="6"/>
  <c r="Y142" i="11" s="1"/>
  <c r="G41" i="6"/>
  <c r="AA142" i="11" s="1"/>
  <c r="I41" i="6"/>
  <c r="K41" i="6"/>
  <c r="M41" i="6"/>
  <c r="AC142" i="11" s="1"/>
  <c r="O41" i="6"/>
  <c r="AD142" i="11" s="1"/>
  <c r="F43" i="6"/>
  <c r="AH145" i="11" s="1"/>
  <c r="H43" i="6"/>
  <c r="AJ145" i="11" s="1"/>
  <c r="J43" i="6"/>
  <c r="AN145" i="11" s="1"/>
  <c r="L43" i="6"/>
  <c r="N43" i="6"/>
  <c r="E45" i="6"/>
  <c r="A186" i="11" s="1"/>
  <c r="G45" i="6"/>
  <c r="C186" i="11" s="1"/>
  <c r="I45" i="6"/>
  <c r="K45" i="6"/>
  <c r="M45" i="6"/>
  <c r="E186" i="11" s="1"/>
  <c r="P45" i="6"/>
  <c r="G186" i="11" s="1"/>
  <c r="O49" i="6"/>
  <c r="V184" i="11" s="1"/>
  <c r="M49" i="6"/>
  <c r="U184" i="11" s="1"/>
  <c r="K49" i="6"/>
  <c r="I49" i="6"/>
  <c r="G49" i="6"/>
  <c r="S184" i="11" s="1"/>
  <c r="E49" i="6"/>
  <c r="Q184" i="11" s="1"/>
  <c r="H49" i="6"/>
  <c r="T184" i="11" s="1"/>
  <c r="L49" i="6"/>
  <c r="P49" i="6"/>
  <c r="W184" i="11" s="1"/>
  <c r="O53" i="6"/>
  <c r="AL185" i="11" s="1"/>
  <c r="M53" i="6"/>
  <c r="AK185" i="11" s="1"/>
  <c r="K53" i="6"/>
  <c r="I53" i="6"/>
  <c r="G53" i="6"/>
  <c r="AI185" i="11" s="1"/>
  <c r="E53" i="6"/>
  <c r="AG185" i="11" s="1"/>
  <c r="H53" i="6"/>
  <c r="AJ185" i="11" s="1"/>
  <c r="L53" i="6"/>
  <c r="P53" i="6"/>
  <c r="O57" i="6"/>
  <c r="N224" i="11" s="1"/>
  <c r="M57" i="6"/>
  <c r="M224" i="11" s="1"/>
  <c r="K57" i="6"/>
  <c r="I57" i="6"/>
  <c r="G57" i="6"/>
  <c r="K224" i="11" s="1"/>
  <c r="E57" i="6"/>
  <c r="I224" i="11" s="1"/>
  <c r="H57" i="6"/>
  <c r="L224" i="11" s="1"/>
  <c r="L57" i="6"/>
  <c r="P57" i="6"/>
  <c r="O224" i="11" s="1"/>
  <c r="O61" i="6"/>
  <c r="V228" i="11" s="1"/>
  <c r="M61" i="6"/>
  <c r="U228" i="11" s="1"/>
  <c r="K61" i="6"/>
  <c r="I61" i="6"/>
  <c r="G61" i="6"/>
  <c r="S228" i="11" s="1"/>
  <c r="E61" i="6"/>
  <c r="Q228" i="11" s="1"/>
  <c r="H61" i="6"/>
  <c r="T228" i="11" s="1"/>
  <c r="L61" i="6"/>
  <c r="P61" i="6"/>
  <c r="O65" i="6"/>
  <c r="AL223" i="11" s="1"/>
  <c r="M65" i="6"/>
  <c r="AK223" i="11" s="1"/>
  <c r="K65" i="6"/>
  <c r="I65" i="6"/>
  <c r="G65" i="6"/>
  <c r="AI223" i="11" s="1"/>
  <c r="E65" i="6"/>
  <c r="AG223" i="11" s="1"/>
  <c r="H65" i="6"/>
  <c r="AJ223" i="11" s="1"/>
  <c r="L65" i="6"/>
  <c r="P65" i="6"/>
  <c r="AM223" i="11" s="1"/>
  <c r="O69" i="6"/>
  <c r="F270" i="11" s="1"/>
  <c r="M69" i="6"/>
  <c r="E270" i="11" s="1"/>
  <c r="K69" i="6"/>
  <c r="I69" i="6"/>
  <c r="G69" i="6"/>
  <c r="C270" i="11" s="1"/>
  <c r="E69" i="6"/>
  <c r="A270" i="11" s="1"/>
  <c r="P69" i="6"/>
  <c r="G270" i="11" s="1"/>
  <c r="N69" i="6"/>
  <c r="H69" i="6"/>
  <c r="D270" i="11" s="1"/>
  <c r="L69" i="6"/>
  <c r="G7" i="6"/>
  <c r="K19" i="11" s="1"/>
  <c r="I7" i="6"/>
  <c r="K7" i="6"/>
  <c r="M7" i="6"/>
  <c r="M19" i="11" s="1"/>
  <c r="F9" i="6"/>
  <c r="R20" i="11" s="1"/>
  <c r="H9" i="6"/>
  <c r="T20" i="11" s="1"/>
  <c r="J9" i="6"/>
  <c r="X20" i="11" s="1"/>
  <c r="L9" i="6"/>
  <c r="N9" i="6"/>
  <c r="F13" i="6"/>
  <c r="AH18" i="11" s="1"/>
  <c r="H13" i="6"/>
  <c r="AJ18" i="11" s="1"/>
  <c r="J13" i="6"/>
  <c r="AN18" i="11" s="1"/>
  <c r="L13" i="6"/>
  <c r="N13" i="6"/>
  <c r="F17" i="6"/>
  <c r="J60" i="11" s="1"/>
  <c r="H17" i="6"/>
  <c r="L60" i="11" s="1"/>
  <c r="J17" i="6"/>
  <c r="P60" i="11" s="1"/>
  <c r="L17" i="6"/>
  <c r="N17" i="6"/>
  <c r="F21" i="6"/>
  <c r="Z62" i="11" s="1"/>
  <c r="H21" i="6"/>
  <c r="AB62" i="11" s="1"/>
  <c r="J21" i="6"/>
  <c r="AF62" i="11" s="1"/>
  <c r="L21" i="6"/>
  <c r="N21" i="6"/>
  <c r="F25" i="6"/>
  <c r="B104" i="11" s="1"/>
  <c r="H25" i="6"/>
  <c r="D104" i="11" s="1"/>
  <c r="J25" i="6"/>
  <c r="H104" i="11" s="1"/>
  <c r="L25" i="6"/>
  <c r="N25" i="6"/>
  <c r="F29" i="6"/>
  <c r="R106" i="11" s="1"/>
  <c r="H29" i="6"/>
  <c r="T106" i="11" s="1"/>
  <c r="J29" i="6"/>
  <c r="X106" i="11" s="1"/>
  <c r="L29" i="6"/>
  <c r="N29" i="6"/>
  <c r="F33" i="6"/>
  <c r="AH104" i="11" s="1"/>
  <c r="H33" i="6"/>
  <c r="AJ104" i="11" s="1"/>
  <c r="J33" i="6"/>
  <c r="AN104" i="11" s="1"/>
  <c r="L33" i="6"/>
  <c r="N33" i="6"/>
  <c r="F37" i="6"/>
  <c r="J146" i="11" s="1"/>
  <c r="H37" i="6"/>
  <c r="L146" i="11" s="1"/>
  <c r="J37" i="6"/>
  <c r="P146" i="11" s="1"/>
  <c r="L37" i="6"/>
  <c r="N37" i="6"/>
  <c r="F41" i="6"/>
  <c r="Z142" i="11" s="1"/>
  <c r="H41" i="6"/>
  <c r="AB142" i="11" s="1"/>
  <c r="J41" i="6"/>
  <c r="AF142" i="11" s="1"/>
  <c r="L41" i="6"/>
  <c r="N41" i="6"/>
  <c r="F45" i="6"/>
  <c r="B186" i="11" s="1"/>
  <c r="H45" i="6"/>
  <c r="D186" i="11" s="1"/>
  <c r="J45" i="6"/>
  <c r="H186" i="11" s="1"/>
  <c r="L45" i="6"/>
  <c r="N45" i="6"/>
  <c r="F73" i="6"/>
  <c r="J266" i="11" s="1"/>
  <c r="H73" i="6"/>
  <c r="L266" i="11" s="1"/>
  <c r="J73" i="6"/>
  <c r="P266" i="11" s="1"/>
  <c r="L73" i="6"/>
  <c r="N73" i="6"/>
  <c r="P73" i="6"/>
  <c r="O266" i="11" s="1"/>
  <c r="F77" i="6"/>
  <c r="R265" i="11" s="1"/>
  <c r="H77" i="6"/>
  <c r="T265" i="11" s="1"/>
  <c r="J77" i="6"/>
  <c r="X265" i="11" s="1"/>
  <c r="L77" i="6"/>
  <c r="N77" i="6"/>
  <c r="P77" i="6"/>
  <c r="W265" i="11" s="1"/>
  <c r="F81" i="6"/>
  <c r="H81" i="6"/>
  <c r="J81" i="6"/>
  <c r="L81" i="6"/>
  <c r="N81" i="6"/>
  <c r="P81" i="6"/>
  <c r="F5" i="5"/>
  <c r="B33" i="12" s="1"/>
  <c r="H5" i="5"/>
  <c r="D33" i="12" s="1"/>
  <c r="J5" i="5"/>
  <c r="H33" i="12" s="1"/>
  <c r="L5" i="5"/>
  <c r="N5" i="5"/>
  <c r="P5" i="5"/>
  <c r="G33" i="12" s="1"/>
  <c r="F9" i="5"/>
  <c r="R26" i="12" s="1"/>
  <c r="H9" i="5"/>
  <c r="T26" i="12" s="1"/>
  <c r="J9" i="5"/>
  <c r="X26" i="12" s="1"/>
  <c r="L9" i="5"/>
  <c r="N9" i="5"/>
  <c r="P9" i="5"/>
  <c r="W26" i="12" s="1"/>
  <c r="F13" i="5"/>
  <c r="AH29" i="12" s="1"/>
  <c r="H13" i="5"/>
  <c r="AJ29" i="12" s="1"/>
  <c r="J13" i="5"/>
  <c r="AN29" i="12" s="1"/>
  <c r="L13" i="5"/>
  <c r="N13" i="5"/>
  <c r="P13" i="5"/>
  <c r="AM29" i="12" s="1"/>
  <c r="F17" i="5"/>
  <c r="J65" i="12" s="1"/>
  <c r="H17" i="5"/>
  <c r="L65" i="12" s="1"/>
  <c r="J17" i="5"/>
  <c r="P65" i="12" s="1"/>
  <c r="L17" i="5"/>
  <c r="N17" i="5"/>
  <c r="P17" i="5"/>
  <c r="O65" i="12" s="1"/>
  <c r="F21" i="5"/>
  <c r="Z66" i="12" s="1"/>
  <c r="H21" i="5"/>
  <c r="AB66" i="12" s="1"/>
  <c r="J21" i="5"/>
  <c r="AF66" i="12" s="1"/>
  <c r="L21" i="5"/>
  <c r="N21" i="5"/>
  <c r="P21" i="5"/>
  <c r="AE66" i="12" s="1"/>
  <c r="F25" i="5"/>
  <c r="B110" i="12" s="1"/>
  <c r="H25" i="5"/>
  <c r="D110" i="12" s="1"/>
  <c r="J25" i="5"/>
  <c r="H110" i="12" s="1"/>
  <c r="L25" i="5"/>
  <c r="N25" i="5"/>
  <c r="P25" i="5"/>
  <c r="F29" i="5"/>
  <c r="R108" i="12" s="1"/>
  <c r="H29" i="5"/>
  <c r="T108" i="12" s="1"/>
  <c r="J29" i="5"/>
  <c r="X108" i="12" s="1"/>
  <c r="L29" i="5"/>
  <c r="N29" i="5"/>
  <c r="P29" i="5"/>
  <c r="W108" i="12" s="1"/>
  <c r="J33" i="5"/>
  <c r="AN113" i="12" s="1"/>
  <c r="L33" i="5"/>
  <c r="N33" i="5"/>
  <c r="P33" i="5"/>
  <c r="AM113" i="12" s="1"/>
  <c r="F37" i="5"/>
  <c r="J150" i="12" s="1"/>
  <c r="H37" i="5"/>
  <c r="L150" i="12" s="1"/>
  <c r="J37" i="5"/>
  <c r="P150" i="12" s="1"/>
  <c r="L37" i="5"/>
  <c r="N37" i="5"/>
  <c r="P37" i="5"/>
  <c r="O150" i="12" s="1"/>
  <c r="F41" i="5"/>
  <c r="R159" i="12" s="1"/>
  <c r="H41" i="5"/>
  <c r="T159" i="12" s="1"/>
  <c r="J41" i="5"/>
  <c r="X159" i="12" s="1"/>
  <c r="L41" i="5"/>
  <c r="N41" i="5"/>
  <c r="P41" i="5"/>
  <c r="W159" i="12" s="1"/>
  <c r="F45" i="5"/>
  <c r="AH151" i="12" s="1"/>
  <c r="H45" i="5"/>
  <c r="AJ151" i="12" s="1"/>
  <c r="J45" i="5"/>
  <c r="AN151" i="12" s="1"/>
  <c r="L45" i="5"/>
  <c r="N45" i="5"/>
  <c r="P45" i="5"/>
  <c r="AM151" i="12" s="1"/>
  <c r="F49" i="5"/>
  <c r="J192" i="12" s="1"/>
  <c r="H49" i="5"/>
  <c r="L192" i="12" s="1"/>
  <c r="J49" i="5"/>
  <c r="P192" i="12" s="1"/>
  <c r="L49" i="5"/>
  <c r="N49" i="5"/>
  <c r="P49" i="5"/>
  <c r="O192" i="12" s="1"/>
  <c r="J53" i="5"/>
  <c r="AF193" i="12" s="1"/>
  <c r="L53" i="5"/>
  <c r="N53" i="5"/>
  <c r="P53" i="5"/>
  <c r="AE193" i="12" s="1"/>
  <c r="F47" i="6"/>
  <c r="J186" i="11" s="1"/>
  <c r="H47" i="6"/>
  <c r="L186" i="11" s="1"/>
  <c r="J47" i="6"/>
  <c r="P186" i="11" s="1"/>
  <c r="L47" i="6"/>
  <c r="N47" i="6"/>
  <c r="F51" i="6"/>
  <c r="Z184" i="11" s="1"/>
  <c r="H51" i="6"/>
  <c r="AB184" i="11" s="1"/>
  <c r="J51" i="6"/>
  <c r="AF184" i="11" s="1"/>
  <c r="L51" i="6"/>
  <c r="N51" i="6"/>
  <c r="F55" i="6"/>
  <c r="B230" i="11" s="1"/>
  <c r="H55" i="6"/>
  <c r="D230" i="11" s="1"/>
  <c r="J55" i="6"/>
  <c r="H230" i="11" s="1"/>
  <c r="L55" i="6"/>
  <c r="N55" i="6"/>
  <c r="F59" i="6"/>
  <c r="R224" i="11" s="1"/>
  <c r="H59" i="6"/>
  <c r="T224" i="11" s="1"/>
  <c r="J59" i="6"/>
  <c r="X224" i="11" s="1"/>
  <c r="L59" i="6"/>
  <c r="N59" i="6"/>
  <c r="F63" i="6"/>
  <c r="Z227" i="11" s="1"/>
  <c r="H63" i="6"/>
  <c r="AB227" i="11" s="1"/>
  <c r="J63" i="6"/>
  <c r="AF227" i="11" s="1"/>
  <c r="L63" i="6"/>
  <c r="N63" i="6"/>
  <c r="F67" i="6"/>
  <c r="B266" i="11" s="1"/>
  <c r="H67" i="6"/>
  <c r="D266" i="11" s="1"/>
  <c r="J67" i="6"/>
  <c r="H266" i="11" s="1"/>
  <c r="L67" i="6"/>
  <c r="N67" i="6"/>
  <c r="F71" i="6"/>
  <c r="J274" i="11" s="1"/>
  <c r="H71" i="6"/>
  <c r="L274" i="11" s="1"/>
  <c r="J71" i="6"/>
  <c r="P274" i="11" s="1"/>
  <c r="L71" i="6"/>
  <c r="N71" i="6"/>
  <c r="E73" i="6"/>
  <c r="I266" i="11" s="1"/>
  <c r="G73" i="6"/>
  <c r="K266" i="11" s="1"/>
  <c r="I73" i="6"/>
  <c r="K73" i="6"/>
  <c r="M73" i="6"/>
  <c r="M266" i="11" s="1"/>
  <c r="F75" i="6"/>
  <c r="H75" i="6"/>
  <c r="J75" i="6"/>
  <c r="L75" i="6"/>
  <c r="N75" i="6"/>
  <c r="E77" i="6"/>
  <c r="Q265" i="11" s="1"/>
  <c r="G77" i="6"/>
  <c r="S265" i="11" s="1"/>
  <c r="I77" i="6"/>
  <c r="K77" i="6"/>
  <c r="M77" i="6"/>
  <c r="U265" i="11" s="1"/>
  <c r="F79" i="6"/>
  <c r="R269" i="11" s="1"/>
  <c r="H79" i="6"/>
  <c r="T269" i="11" s="1"/>
  <c r="J79" i="6"/>
  <c r="X269" i="11" s="1"/>
  <c r="L79" i="6"/>
  <c r="N79" i="6"/>
  <c r="E81" i="6"/>
  <c r="G81" i="6"/>
  <c r="I81" i="6"/>
  <c r="K81" i="6"/>
  <c r="M81" i="6"/>
  <c r="L259" i="11"/>
  <c r="N259" i="11" s="1"/>
  <c r="L260" i="11"/>
  <c r="N260" i="11" s="1"/>
  <c r="L261" i="11"/>
  <c r="N261" i="11" s="1"/>
  <c r="E5" i="5"/>
  <c r="A33" i="12" s="1"/>
  <c r="G5" i="5"/>
  <c r="C33" i="12" s="1"/>
  <c r="I5" i="5"/>
  <c r="K5" i="5"/>
  <c r="M5" i="5"/>
  <c r="E33" i="12" s="1"/>
  <c r="F7" i="5"/>
  <c r="J22" i="12" s="1"/>
  <c r="H7" i="5"/>
  <c r="L22" i="12" s="1"/>
  <c r="J7" i="5"/>
  <c r="P22" i="12" s="1"/>
  <c r="L7" i="5"/>
  <c r="N7" i="5"/>
  <c r="E9" i="5"/>
  <c r="Q26" i="12" s="1"/>
  <c r="G9" i="5"/>
  <c r="S26" i="12" s="1"/>
  <c r="I9" i="5"/>
  <c r="K9" i="5"/>
  <c r="M9" i="5"/>
  <c r="U26" i="12" s="1"/>
  <c r="J11" i="5"/>
  <c r="AF19" i="12" s="1"/>
  <c r="L11" i="5"/>
  <c r="N11" i="5"/>
  <c r="E13" i="5"/>
  <c r="AG29" i="12" s="1"/>
  <c r="G13" i="5"/>
  <c r="AI29" i="12" s="1"/>
  <c r="I13" i="5"/>
  <c r="K13" i="5"/>
  <c r="M13" i="5"/>
  <c r="AK29" i="12" s="1"/>
  <c r="F15" i="5"/>
  <c r="B67" i="12" s="1"/>
  <c r="H15" i="5"/>
  <c r="D67" i="12" s="1"/>
  <c r="J15" i="5"/>
  <c r="H67" i="12" s="1"/>
  <c r="L15" i="5"/>
  <c r="N15" i="5"/>
  <c r="E17" i="5"/>
  <c r="I65" i="12" s="1"/>
  <c r="G17" i="5"/>
  <c r="K65" i="12" s="1"/>
  <c r="I17" i="5"/>
  <c r="K17" i="5"/>
  <c r="M17" i="5"/>
  <c r="M65" i="12" s="1"/>
  <c r="F19" i="5"/>
  <c r="R68" i="12" s="1"/>
  <c r="H19" i="5"/>
  <c r="T68" i="12" s="1"/>
  <c r="J19" i="5"/>
  <c r="X68" i="12" s="1"/>
  <c r="L19" i="5"/>
  <c r="N19" i="5"/>
  <c r="E21" i="5"/>
  <c r="Y66" i="12" s="1"/>
  <c r="G21" i="5"/>
  <c r="AA66" i="12" s="1"/>
  <c r="I21" i="5"/>
  <c r="K21" i="5"/>
  <c r="M21" i="5"/>
  <c r="AC66" i="12" s="1"/>
  <c r="F23" i="5"/>
  <c r="AH65" i="12" s="1"/>
  <c r="H23" i="5"/>
  <c r="AJ65" i="12" s="1"/>
  <c r="J23" i="5"/>
  <c r="AN65" i="12" s="1"/>
  <c r="L23" i="5"/>
  <c r="N23" i="5"/>
  <c r="E25" i="5"/>
  <c r="A110" i="12" s="1"/>
  <c r="G25" i="5"/>
  <c r="C110" i="12" s="1"/>
  <c r="I25" i="5"/>
  <c r="K25" i="5"/>
  <c r="M25" i="5"/>
  <c r="E110" i="12" s="1"/>
  <c r="F27" i="5"/>
  <c r="J107" i="12" s="1"/>
  <c r="H27" i="5"/>
  <c r="L107" i="12" s="1"/>
  <c r="J27" i="5"/>
  <c r="P107" i="12" s="1"/>
  <c r="L27" i="5"/>
  <c r="N27" i="5"/>
  <c r="E29" i="5"/>
  <c r="Q108" i="12" s="1"/>
  <c r="G29" i="5"/>
  <c r="S108" i="12" s="1"/>
  <c r="I29" i="5"/>
  <c r="K29" i="5"/>
  <c r="M29" i="5"/>
  <c r="U108" i="12" s="1"/>
  <c r="J31" i="5"/>
  <c r="AF109" i="12" s="1"/>
  <c r="L31" i="5"/>
  <c r="N31" i="5"/>
  <c r="I33" i="5"/>
  <c r="K33" i="5"/>
  <c r="M33" i="5"/>
  <c r="AK113" i="12" s="1"/>
  <c r="J35" i="5"/>
  <c r="H153" i="12" s="1"/>
  <c r="L35" i="5"/>
  <c r="N35" i="5"/>
  <c r="E37" i="5"/>
  <c r="I150" i="12" s="1"/>
  <c r="G37" i="5"/>
  <c r="K150" i="12" s="1"/>
  <c r="I37" i="5"/>
  <c r="K37" i="5"/>
  <c r="M37" i="5"/>
  <c r="M150" i="12" s="1"/>
  <c r="F39" i="5"/>
  <c r="R155" i="12" s="1"/>
  <c r="H39" i="5"/>
  <c r="T155" i="12" s="1"/>
  <c r="J39" i="5"/>
  <c r="X155" i="12" s="1"/>
  <c r="L39" i="5"/>
  <c r="N39" i="5"/>
  <c r="E41" i="5"/>
  <c r="Q159" i="12" s="1"/>
  <c r="G41" i="5"/>
  <c r="S159" i="12" s="1"/>
  <c r="I41" i="5"/>
  <c r="K41" i="5"/>
  <c r="M41" i="5"/>
  <c r="U159" i="12" s="1"/>
  <c r="F43" i="5"/>
  <c r="Z148" i="12" s="1"/>
  <c r="H43" i="5"/>
  <c r="AB148" i="12" s="1"/>
  <c r="J43" i="5"/>
  <c r="AF148" i="12" s="1"/>
  <c r="L43" i="5"/>
  <c r="N43" i="5"/>
  <c r="E45" i="5"/>
  <c r="AG151" i="12" s="1"/>
  <c r="G45" i="5"/>
  <c r="AI151" i="12" s="1"/>
  <c r="I45" i="5"/>
  <c r="K45" i="5"/>
  <c r="M45" i="5"/>
  <c r="AK151" i="12" s="1"/>
  <c r="F47" i="5"/>
  <c r="B188" i="12" s="1"/>
  <c r="H47" i="5"/>
  <c r="D188" i="12" s="1"/>
  <c r="J47" i="5"/>
  <c r="H188" i="12" s="1"/>
  <c r="L47" i="5"/>
  <c r="N47" i="5"/>
  <c r="E49" i="5"/>
  <c r="I192" i="12" s="1"/>
  <c r="G49" i="5"/>
  <c r="K192" i="12" s="1"/>
  <c r="I49" i="5"/>
  <c r="K49" i="5"/>
  <c r="M49" i="5"/>
  <c r="M192" i="12" s="1"/>
  <c r="F51" i="5"/>
  <c r="R192" i="12" s="1"/>
  <c r="J51" i="5"/>
  <c r="X192" i="12" s="1"/>
  <c r="L51" i="5"/>
  <c r="N51" i="5"/>
  <c r="I53" i="5"/>
  <c r="K53" i="5"/>
  <c r="M53" i="5"/>
  <c r="AC193" i="12" s="1"/>
  <c r="AC13" i="12"/>
  <c r="AE13" i="12" s="1"/>
  <c r="O61" i="12"/>
  <c r="M58" i="12"/>
  <c r="O58" i="12" s="1"/>
  <c r="M57" i="12"/>
  <c r="O57" i="12" s="1"/>
  <c r="AM61" i="12"/>
  <c r="AK58" i="12"/>
  <c r="AM58" i="12" s="1"/>
  <c r="AK56" i="12"/>
  <c r="AM56" i="12" s="1"/>
  <c r="G70" i="13"/>
  <c r="AM24" i="13"/>
  <c r="F7" i="1"/>
  <c r="B21" i="13" s="1"/>
  <c r="H7" i="1"/>
  <c r="D21" i="13" s="1"/>
  <c r="J7" i="1"/>
  <c r="H21" i="13" s="1"/>
  <c r="L7" i="1"/>
  <c r="N7" i="1"/>
  <c r="P7" i="1"/>
  <c r="G21" i="13" s="1"/>
  <c r="F11" i="1"/>
  <c r="R24" i="13" s="1"/>
  <c r="H11" i="1"/>
  <c r="T24" i="13" s="1"/>
  <c r="J11" i="1"/>
  <c r="X24" i="13" s="1"/>
  <c r="L11" i="1"/>
  <c r="N11" i="1"/>
  <c r="P11" i="1"/>
  <c r="W24" i="13" s="1"/>
  <c r="F15" i="1"/>
  <c r="AH24" i="13" s="1"/>
  <c r="H15" i="1"/>
  <c r="AJ24" i="13" s="1"/>
  <c r="J15" i="1"/>
  <c r="L15" i="1"/>
  <c r="N15" i="1"/>
  <c r="P15" i="1"/>
  <c r="AL24" i="13"/>
  <c r="F19" i="1"/>
  <c r="J70" i="13" s="1"/>
  <c r="H19" i="1"/>
  <c r="L70" i="13" s="1"/>
  <c r="J19" i="1"/>
  <c r="P70" i="13" s="1"/>
  <c r="L19" i="1"/>
  <c r="N19" i="1"/>
  <c r="P19" i="1"/>
  <c r="O70" i="13" s="1"/>
  <c r="F23" i="1"/>
  <c r="Z65" i="13" s="1"/>
  <c r="H23" i="1"/>
  <c r="AB65" i="13" s="1"/>
  <c r="J23" i="1"/>
  <c r="AF65" i="13" s="1"/>
  <c r="L23" i="1"/>
  <c r="N23" i="1"/>
  <c r="P23" i="1"/>
  <c r="AE65" i="13" s="1"/>
  <c r="I27" i="1"/>
  <c r="K27" i="1"/>
  <c r="M27" i="1"/>
  <c r="E110" i="13" s="1"/>
  <c r="O27" i="1"/>
  <c r="F110" i="13" s="1"/>
  <c r="F29" i="1"/>
  <c r="J109" i="13" s="1"/>
  <c r="I29" i="1"/>
  <c r="K29" i="1"/>
  <c r="M29" i="1"/>
  <c r="M109" i="13" s="1"/>
  <c r="O29" i="1"/>
  <c r="N109" i="13" s="1"/>
  <c r="F31" i="1"/>
  <c r="R102" i="13" s="1"/>
  <c r="H31" i="1"/>
  <c r="T102" i="13" s="1"/>
  <c r="J31" i="1"/>
  <c r="X102" i="13" s="1"/>
  <c r="L31" i="1"/>
  <c r="N31" i="1"/>
  <c r="P31" i="1"/>
  <c r="W102" i="13" s="1"/>
  <c r="F35" i="1"/>
  <c r="AH103" i="13" s="1"/>
  <c r="H35" i="1"/>
  <c r="AJ103" i="13" s="1"/>
  <c r="J35" i="1"/>
  <c r="AN103" i="13" s="1"/>
  <c r="L35" i="1"/>
  <c r="N35" i="1"/>
  <c r="P35" i="1"/>
  <c r="O39" i="1"/>
  <c r="F151" i="13" s="1"/>
  <c r="M39" i="1"/>
  <c r="E151" i="13" s="1"/>
  <c r="K39" i="1"/>
  <c r="I39" i="1"/>
  <c r="G39" i="1"/>
  <c r="C151" i="13" s="1"/>
  <c r="E39" i="1"/>
  <c r="A151" i="13" s="1"/>
  <c r="H39" i="1"/>
  <c r="D151" i="13" s="1"/>
  <c r="L39" i="1"/>
  <c r="P39" i="1"/>
  <c r="G151" i="13" s="1"/>
  <c r="AE21" i="13"/>
  <c r="AC18" i="13"/>
  <c r="AE18" i="13" s="1"/>
  <c r="AB17" i="13"/>
  <c r="AD17" i="13" s="1"/>
  <c r="AB16" i="13"/>
  <c r="AD16" i="13" s="1"/>
  <c r="AC15" i="13"/>
  <c r="AE15" i="13" s="1"/>
  <c r="AB14" i="13"/>
  <c r="AD14" i="13" s="1"/>
  <c r="AB13" i="13"/>
  <c r="AD13" i="13" s="1"/>
  <c r="U96" i="12"/>
  <c r="W96" i="12" s="1"/>
  <c r="U97" i="12"/>
  <c r="W97" i="12" s="1"/>
  <c r="U98" i="12"/>
  <c r="W98" i="12" s="1"/>
  <c r="U99" i="12"/>
  <c r="W99" i="12" s="1"/>
  <c r="U101" i="12"/>
  <c r="W101" i="12" s="1"/>
  <c r="U178" i="12"/>
  <c r="W178" i="12" s="1"/>
  <c r="AC178" i="12"/>
  <c r="AE178" i="12" s="1"/>
  <c r="E179" i="12"/>
  <c r="G179" i="12" s="1"/>
  <c r="U179" i="12"/>
  <c r="W179" i="12" s="1"/>
  <c r="AC179" i="12"/>
  <c r="AE179" i="12" s="1"/>
  <c r="U180" i="12"/>
  <c r="W180" i="12" s="1"/>
  <c r="AC180" i="12"/>
  <c r="AE180" i="12" s="1"/>
  <c r="U181" i="12"/>
  <c r="W181" i="12" s="1"/>
  <c r="AC181" i="12"/>
  <c r="AE181" i="12" s="1"/>
  <c r="T182" i="12"/>
  <c r="V182" i="12" s="1"/>
  <c r="AB182" i="12"/>
  <c r="AD182" i="12" s="1"/>
  <c r="U183" i="12"/>
  <c r="W183" i="12" s="1"/>
  <c r="AC183" i="12"/>
  <c r="AE183" i="12" s="1"/>
  <c r="T184" i="12"/>
  <c r="V184" i="12" s="1"/>
  <c r="AC184" i="12"/>
  <c r="AE184" i="12" s="1"/>
  <c r="U186" i="12"/>
  <c r="W186" i="12" s="1"/>
  <c r="AB186" i="12"/>
  <c r="AD186" i="12" s="1"/>
  <c r="F5" i="1"/>
  <c r="B25" i="13" s="1"/>
  <c r="H5" i="1"/>
  <c r="D25" i="13" s="1"/>
  <c r="J5" i="1"/>
  <c r="H25" i="13" s="1"/>
  <c r="L5" i="1"/>
  <c r="N5" i="1"/>
  <c r="E7" i="1"/>
  <c r="A21" i="13" s="1"/>
  <c r="G7" i="1"/>
  <c r="C21" i="13" s="1"/>
  <c r="I7" i="1"/>
  <c r="K7" i="1"/>
  <c r="M7" i="1"/>
  <c r="E21" i="13" s="1"/>
  <c r="F9" i="1"/>
  <c r="J24" i="13" s="1"/>
  <c r="H9" i="1"/>
  <c r="L24" i="13" s="1"/>
  <c r="J9" i="1"/>
  <c r="P24" i="13" s="1"/>
  <c r="L9" i="1"/>
  <c r="N9" i="1"/>
  <c r="E11" i="1"/>
  <c r="Q24" i="13" s="1"/>
  <c r="G11" i="1"/>
  <c r="S24" i="13" s="1"/>
  <c r="I11" i="1"/>
  <c r="K11" i="1"/>
  <c r="M11" i="1"/>
  <c r="U24" i="13" s="1"/>
  <c r="F13" i="1"/>
  <c r="Z25" i="13" s="1"/>
  <c r="H13" i="1"/>
  <c r="AB25" i="13" s="1"/>
  <c r="J13" i="1"/>
  <c r="AF25" i="13" s="1"/>
  <c r="L13" i="1"/>
  <c r="N13" i="1"/>
  <c r="E15" i="1"/>
  <c r="AG24" i="13" s="1"/>
  <c r="G15" i="1"/>
  <c r="AI24" i="13" s="1"/>
  <c r="I15" i="1"/>
  <c r="K15" i="1"/>
  <c r="M15" i="1"/>
  <c r="F17" i="1"/>
  <c r="B70" i="13" s="1"/>
  <c r="H17" i="1"/>
  <c r="D70" i="13" s="1"/>
  <c r="J17" i="1"/>
  <c r="L17" i="1"/>
  <c r="N17" i="1"/>
  <c r="E19" i="1"/>
  <c r="I70" i="13" s="1"/>
  <c r="G19" i="1"/>
  <c r="K70" i="13" s="1"/>
  <c r="I19" i="1"/>
  <c r="K19" i="1"/>
  <c r="M19" i="1"/>
  <c r="M70" i="13" s="1"/>
  <c r="F21" i="1"/>
  <c r="R60" i="13" s="1"/>
  <c r="H21" i="1"/>
  <c r="T60" i="13" s="1"/>
  <c r="J21" i="1"/>
  <c r="X60" i="13" s="1"/>
  <c r="L21" i="1"/>
  <c r="N21" i="1"/>
  <c r="E23" i="1"/>
  <c r="Y65" i="13" s="1"/>
  <c r="G23" i="1"/>
  <c r="AA65" i="13" s="1"/>
  <c r="I23" i="1"/>
  <c r="K23" i="1"/>
  <c r="M23" i="1"/>
  <c r="AC65" i="13" s="1"/>
  <c r="F25" i="1"/>
  <c r="AH69" i="13" s="1"/>
  <c r="H25" i="1"/>
  <c r="AJ69" i="13" s="1"/>
  <c r="J25" i="1"/>
  <c r="AN69" i="13" s="1"/>
  <c r="L25" i="1"/>
  <c r="N25" i="1"/>
  <c r="E27" i="1"/>
  <c r="A110" i="13" s="1"/>
  <c r="J27" i="1"/>
  <c r="H110" i="13" s="1"/>
  <c r="L27" i="1"/>
  <c r="N27" i="1"/>
  <c r="E29" i="1"/>
  <c r="I109" i="13" s="1"/>
  <c r="H29" i="1"/>
  <c r="L109" i="13" s="1"/>
  <c r="J29" i="1"/>
  <c r="P109" i="13" s="1"/>
  <c r="L29" i="1"/>
  <c r="N29" i="1"/>
  <c r="E31" i="1"/>
  <c r="Q102" i="13" s="1"/>
  <c r="G31" i="1"/>
  <c r="S102" i="13" s="1"/>
  <c r="I31" i="1"/>
  <c r="K31" i="1"/>
  <c r="M31" i="1"/>
  <c r="U102" i="13" s="1"/>
  <c r="F33" i="1"/>
  <c r="Z104" i="13" s="1"/>
  <c r="H33" i="1"/>
  <c r="AB104" i="13" s="1"/>
  <c r="J33" i="1"/>
  <c r="AF104" i="13" s="1"/>
  <c r="L33" i="1"/>
  <c r="N33" i="1"/>
  <c r="E35" i="1"/>
  <c r="AG103" i="13" s="1"/>
  <c r="G35" i="1"/>
  <c r="AI103" i="13" s="1"/>
  <c r="I35" i="1"/>
  <c r="K35" i="1"/>
  <c r="M35" i="1"/>
  <c r="AK103" i="13" s="1"/>
  <c r="F37" i="1"/>
  <c r="B155" i="13" s="1"/>
  <c r="H37" i="1"/>
  <c r="D155" i="13" s="1"/>
  <c r="J37" i="1"/>
  <c r="H155" i="13" s="1"/>
  <c r="L37" i="1"/>
  <c r="N37" i="1"/>
  <c r="F39" i="1"/>
  <c r="B151" i="13" s="1"/>
  <c r="J39" i="1"/>
  <c r="H151" i="13" s="1"/>
  <c r="N39" i="1"/>
  <c r="AC14" i="13"/>
  <c r="AE14" i="13" s="1"/>
  <c r="AC16" i="13"/>
  <c r="AE16" i="13" s="1"/>
  <c r="AC17" i="13"/>
  <c r="AE17" i="13" s="1"/>
  <c r="W95" i="13"/>
  <c r="F7" i="2"/>
  <c r="J27" i="14" s="1"/>
  <c r="H7" i="2"/>
  <c r="L27" i="14" s="1"/>
  <c r="J7" i="2"/>
  <c r="P27" i="14" s="1"/>
  <c r="L7" i="2"/>
  <c r="N7" i="2"/>
  <c r="P7" i="2"/>
  <c r="O27" i="14" s="1"/>
  <c r="F11" i="2"/>
  <c r="Z26" i="14" s="1"/>
  <c r="H11" i="2"/>
  <c r="AB26" i="14" s="1"/>
  <c r="J11" i="2"/>
  <c r="AF26" i="14" s="1"/>
  <c r="L11" i="2"/>
  <c r="N11" i="2"/>
  <c r="P11" i="2"/>
  <c r="AE26" i="14" s="1"/>
  <c r="F15" i="2"/>
  <c r="B68" i="14" s="1"/>
  <c r="H15" i="2"/>
  <c r="D68" i="14" s="1"/>
  <c r="J15" i="2"/>
  <c r="H68" i="14" s="1"/>
  <c r="L15" i="2"/>
  <c r="N15" i="2"/>
  <c r="P15" i="2"/>
  <c r="G68" i="14" s="1"/>
  <c r="F19" i="2"/>
  <c r="R66" i="14" s="1"/>
  <c r="H19" i="2"/>
  <c r="T66" i="14" s="1"/>
  <c r="J19" i="2"/>
  <c r="X66" i="14" s="1"/>
  <c r="L19" i="2"/>
  <c r="N19" i="2"/>
  <c r="P19" i="2"/>
  <c r="W66" i="14" s="1"/>
  <c r="F23" i="2"/>
  <c r="AH67" i="14" s="1"/>
  <c r="H23" i="2"/>
  <c r="AJ67" i="14" s="1"/>
  <c r="J23" i="2"/>
  <c r="AN67" i="14" s="1"/>
  <c r="L23" i="2"/>
  <c r="N23" i="2"/>
  <c r="P23" i="2"/>
  <c r="AM67" i="14" s="1"/>
  <c r="F27" i="2"/>
  <c r="J106" i="14" s="1"/>
  <c r="H27" i="2"/>
  <c r="L106" i="14" s="1"/>
  <c r="J27" i="2"/>
  <c r="P106" i="14" s="1"/>
  <c r="L27" i="2"/>
  <c r="N27" i="2"/>
  <c r="P27" i="2"/>
  <c r="O106" i="14" s="1"/>
  <c r="E102" i="14"/>
  <c r="D101" i="14"/>
  <c r="D100" i="14"/>
  <c r="D99" i="14"/>
  <c r="D98" i="14"/>
  <c r="D97" i="14"/>
  <c r="O7" i="3"/>
  <c r="F27" i="15" s="1"/>
  <c r="M7" i="3"/>
  <c r="E27" i="15" s="1"/>
  <c r="K7" i="3"/>
  <c r="I7" i="3"/>
  <c r="G7" i="3"/>
  <c r="C27" i="15" s="1"/>
  <c r="E7" i="3"/>
  <c r="A27" i="15" s="1"/>
  <c r="H7" i="3"/>
  <c r="D27" i="15" s="1"/>
  <c r="L7" i="3"/>
  <c r="P7" i="3"/>
  <c r="G27" i="15" s="1"/>
  <c r="O11" i="3"/>
  <c r="N23" i="15" s="1"/>
  <c r="M11" i="3"/>
  <c r="M23" i="15" s="1"/>
  <c r="K11" i="3"/>
  <c r="I11" i="3"/>
  <c r="G11" i="3"/>
  <c r="K23" i="15" s="1"/>
  <c r="E11" i="3"/>
  <c r="I23" i="15" s="1"/>
  <c r="P11" i="3"/>
  <c r="O23" i="15" s="1"/>
  <c r="N11" i="3"/>
  <c r="H11" i="3"/>
  <c r="L23" i="15" s="1"/>
  <c r="L11" i="3"/>
  <c r="D95" i="13"/>
  <c r="F95" i="13" s="1"/>
  <c r="D96" i="13"/>
  <c r="F96" i="13" s="1"/>
  <c r="D97" i="13"/>
  <c r="F97" i="13" s="1"/>
  <c r="E99" i="13"/>
  <c r="G99" i="13" s="1"/>
  <c r="D100" i="13"/>
  <c r="F100" i="13" s="1"/>
  <c r="D101" i="13"/>
  <c r="F101" i="13" s="1"/>
  <c r="D102" i="13"/>
  <c r="F102" i="13" s="1"/>
  <c r="D103" i="13"/>
  <c r="F103" i="13" s="1"/>
  <c r="F5" i="2"/>
  <c r="B30" i="14" s="1"/>
  <c r="H5" i="2"/>
  <c r="D30" i="14" s="1"/>
  <c r="J5" i="2"/>
  <c r="H30" i="14" s="1"/>
  <c r="L5" i="2"/>
  <c r="N5" i="2"/>
  <c r="E7" i="2"/>
  <c r="I27" i="14" s="1"/>
  <c r="G7" i="2"/>
  <c r="K27" i="14" s="1"/>
  <c r="I7" i="2"/>
  <c r="K7" i="2"/>
  <c r="M7" i="2"/>
  <c r="M27" i="14" s="1"/>
  <c r="F9" i="2"/>
  <c r="R26" i="14" s="1"/>
  <c r="H9" i="2"/>
  <c r="T26" i="14" s="1"/>
  <c r="J9" i="2"/>
  <c r="X26" i="14" s="1"/>
  <c r="L9" i="2"/>
  <c r="N9" i="2"/>
  <c r="E11" i="2"/>
  <c r="Y26" i="14" s="1"/>
  <c r="G11" i="2"/>
  <c r="AA26" i="14" s="1"/>
  <c r="I11" i="2"/>
  <c r="K11" i="2"/>
  <c r="M11" i="2"/>
  <c r="AC26" i="14" s="1"/>
  <c r="F13" i="2"/>
  <c r="AH26" i="14" s="1"/>
  <c r="H13" i="2"/>
  <c r="AJ26" i="14" s="1"/>
  <c r="J13" i="2"/>
  <c r="AN26" i="14" s="1"/>
  <c r="L13" i="2"/>
  <c r="N13" i="2"/>
  <c r="E15" i="2"/>
  <c r="A68" i="14" s="1"/>
  <c r="G15" i="2"/>
  <c r="C68" i="14" s="1"/>
  <c r="I15" i="2"/>
  <c r="K15" i="2"/>
  <c r="M15" i="2"/>
  <c r="E68" i="14" s="1"/>
  <c r="F17" i="2"/>
  <c r="J67" i="14" s="1"/>
  <c r="H17" i="2"/>
  <c r="L67" i="14" s="1"/>
  <c r="J17" i="2"/>
  <c r="P67" i="14" s="1"/>
  <c r="L17" i="2"/>
  <c r="N17" i="2"/>
  <c r="E19" i="2"/>
  <c r="Q66" i="14" s="1"/>
  <c r="G19" i="2"/>
  <c r="S66" i="14" s="1"/>
  <c r="I19" i="2"/>
  <c r="K19" i="2"/>
  <c r="M19" i="2"/>
  <c r="U66" i="14" s="1"/>
  <c r="F21" i="2"/>
  <c r="Z66" i="14" s="1"/>
  <c r="H21" i="2"/>
  <c r="AB66" i="14" s="1"/>
  <c r="J21" i="2"/>
  <c r="AF66" i="14" s="1"/>
  <c r="L21" i="2"/>
  <c r="N21" i="2"/>
  <c r="E23" i="2"/>
  <c r="AG67" i="14" s="1"/>
  <c r="G23" i="2"/>
  <c r="AI67" i="14" s="1"/>
  <c r="I23" i="2"/>
  <c r="K23" i="2"/>
  <c r="M23" i="2"/>
  <c r="AK67" i="14" s="1"/>
  <c r="F25" i="2"/>
  <c r="B106" i="14" s="1"/>
  <c r="H25" i="2"/>
  <c r="D106" i="14" s="1"/>
  <c r="J25" i="2"/>
  <c r="H106" i="14" s="1"/>
  <c r="L25" i="2"/>
  <c r="N25" i="2"/>
  <c r="E27" i="2"/>
  <c r="I106" i="14" s="1"/>
  <c r="G27" i="2"/>
  <c r="K106" i="14" s="1"/>
  <c r="I27" i="2"/>
  <c r="K27" i="2"/>
  <c r="M27" i="2"/>
  <c r="M106" i="14" s="1"/>
  <c r="T18" i="14"/>
  <c r="AB18" i="14"/>
  <c r="AJ18" i="14"/>
  <c r="D19" i="14"/>
  <c r="L19" i="14"/>
  <c r="T19" i="14"/>
  <c r="AB19" i="14"/>
  <c r="AJ19" i="14"/>
  <c r="D20" i="14"/>
  <c r="L20" i="14"/>
  <c r="T20" i="14"/>
  <c r="AB20" i="14"/>
  <c r="AJ20" i="14"/>
  <c r="D21" i="14"/>
  <c r="L21" i="14"/>
  <c r="T21" i="14"/>
  <c r="AB21" i="14"/>
  <c r="AJ21" i="14"/>
  <c r="D22" i="14"/>
  <c r="L22" i="14"/>
  <c r="D23" i="14"/>
  <c r="D24" i="14"/>
  <c r="D25" i="14"/>
  <c r="AB60" i="14"/>
  <c r="L61" i="14"/>
  <c r="T61" i="14"/>
  <c r="AB61" i="14"/>
  <c r="AJ61" i="14"/>
  <c r="D62" i="14"/>
  <c r="L62" i="14"/>
  <c r="AJ62" i="14"/>
  <c r="D63" i="14"/>
  <c r="E95" i="14"/>
  <c r="E97" i="14"/>
  <c r="E99" i="14"/>
  <c r="E101" i="14"/>
  <c r="F7" i="3"/>
  <c r="B27" i="15" s="1"/>
  <c r="J7" i="3"/>
  <c r="H27" i="15" s="1"/>
  <c r="N7" i="3"/>
  <c r="F11" i="3"/>
  <c r="J23" i="15" s="1"/>
  <c r="J11" i="3"/>
  <c r="P23" i="15" s="1"/>
  <c r="F15" i="3"/>
  <c r="R28" i="15" s="1"/>
  <c r="H15" i="3"/>
  <c r="T28" i="15" s="1"/>
  <c r="J15" i="3"/>
  <c r="X28" i="15" s="1"/>
  <c r="L15" i="3"/>
  <c r="N15" i="3"/>
  <c r="P15" i="3"/>
  <c r="W28" i="15" s="1"/>
  <c r="F19" i="3"/>
  <c r="AH29" i="15" s="1"/>
  <c r="H19" i="3"/>
  <c r="AJ29" i="15" s="1"/>
  <c r="J19" i="3"/>
  <c r="AN29" i="15" s="1"/>
  <c r="L19" i="3"/>
  <c r="N19" i="3"/>
  <c r="P19" i="3"/>
  <c r="AM29" i="15" s="1"/>
  <c r="F23" i="3"/>
  <c r="J68" i="15" s="1"/>
  <c r="H23" i="3"/>
  <c r="L68" i="15" s="1"/>
  <c r="J23" i="3"/>
  <c r="P68" i="15" s="1"/>
  <c r="L23" i="3"/>
  <c r="N23" i="3"/>
  <c r="P23" i="3"/>
  <c r="O68" i="15" s="1"/>
  <c r="F27" i="3"/>
  <c r="Z69" i="15" s="1"/>
  <c r="H27" i="3"/>
  <c r="AB69" i="15" s="1"/>
  <c r="J27" i="3"/>
  <c r="AF69" i="15" s="1"/>
  <c r="L27" i="3"/>
  <c r="N27" i="3"/>
  <c r="P27" i="3"/>
  <c r="AE69" i="15" s="1"/>
  <c r="F31" i="3"/>
  <c r="B106" i="15" s="1"/>
  <c r="H31" i="3"/>
  <c r="D106" i="15" s="1"/>
  <c r="J31" i="3"/>
  <c r="H106" i="15" s="1"/>
  <c r="L31" i="3"/>
  <c r="N31" i="3"/>
  <c r="P31" i="3"/>
  <c r="G106" i="15" s="1"/>
  <c r="F35" i="3"/>
  <c r="R108" i="15" s="1"/>
  <c r="H35" i="3"/>
  <c r="T108" i="15" s="1"/>
  <c r="J35" i="3"/>
  <c r="X108" i="15" s="1"/>
  <c r="L35" i="3"/>
  <c r="N35" i="3"/>
  <c r="P35" i="3"/>
  <c r="W108" i="15" s="1"/>
  <c r="F39" i="3"/>
  <c r="AH111" i="15" s="1"/>
  <c r="H39" i="3"/>
  <c r="AJ111" i="15" s="1"/>
  <c r="J39" i="3"/>
  <c r="AN111" i="15" s="1"/>
  <c r="L39" i="3"/>
  <c r="N39" i="3"/>
  <c r="P39" i="3"/>
  <c r="AM111" i="15" s="1"/>
  <c r="F43" i="3"/>
  <c r="H43" i="3"/>
  <c r="J43" i="3"/>
  <c r="L43" i="3"/>
  <c r="N43" i="3"/>
  <c r="P43" i="3"/>
  <c r="P47" i="3"/>
  <c r="O79" i="10" s="1"/>
  <c r="N47" i="3"/>
  <c r="L47" i="3"/>
  <c r="F47" i="3"/>
  <c r="H47" i="3"/>
  <c r="J47" i="3"/>
  <c r="M47" i="3"/>
  <c r="O49" i="3"/>
  <c r="M49" i="3"/>
  <c r="K49" i="3"/>
  <c r="I49" i="3"/>
  <c r="G49" i="3"/>
  <c r="E49" i="3"/>
  <c r="H49" i="3"/>
  <c r="L49" i="3"/>
  <c r="P49" i="3"/>
  <c r="F5" i="3"/>
  <c r="B23" i="15" s="1"/>
  <c r="H5" i="3"/>
  <c r="D23" i="15" s="1"/>
  <c r="J5" i="3"/>
  <c r="H23" i="15" s="1"/>
  <c r="L5" i="3"/>
  <c r="N5" i="3"/>
  <c r="F9" i="3"/>
  <c r="B31" i="15" s="1"/>
  <c r="H9" i="3"/>
  <c r="D31" i="15" s="1"/>
  <c r="J9" i="3"/>
  <c r="H31" i="15" s="1"/>
  <c r="L9" i="3"/>
  <c r="N9" i="3"/>
  <c r="F13" i="3"/>
  <c r="J27" i="15" s="1"/>
  <c r="H13" i="3"/>
  <c r="L27" i="15" s="1"/>
  <c r="J13" i="3"/>
  <c r="P27" i="15" s="1"/>
  <c r="L13" i="3"/>
  <c r="N13" i="3"/>
  <c r="E15" i="3"/>
  <c r="Q28" i="15" s="1"/>
  <c r="G15" i="3"/>
  <c r="S28" i="15" s="1"/>
  <c r="I15" i="3"/>
  <c r="K15" i="3"/>
  <c r="M15" i="3"/>
  <c r="U28" i="15" s="1"/>
  <c r="F17" i="3"/>
  <c r="Z27" i="15" s="1"/>
  <c r="H17" i="3"/>
  <c r="AB27" i="15" s="1"/>
  <c r="J17" i="3"/>
  <c r="AF27" i="15" s="1"/>
  <c r="L17" i="3"/>
  <c r="N17" i="3"/>
  <c r="E19" i="3"/>
  <c r="AG29" i="15" s="1"/>
  <c r="G19" i="3"/>
  <c r="AI29" i="15" s="1"/>
  <c r="I19" i="3"/>
  <c r="K19" i="3"/>
  <c r="M19" i="3"/>
  <c r="AK29" i="15" s="1"/>
  <c r="F21" i="3"/>
  <c r="B69" i="15" s="1"/>
  <c r="H21" i="3"/>
  <c r="D69" i="15" s="1"/>
  <c r="J21" i="3"/>
  <c r="H69" i="15" s="1"/>
  <c r="L21" i="3"/>
  <c r="N21" i="3"/>
  <c r="E23" i="3"/>
  <c r="I68" i="15" s="1"/>
  <c r="G23" i="3"/>
  <c r="K68" i="15" s="1"/>
  <c r="I23" i="3"/>
  <c r="K23" i="3"/>
  <c r="M23" i="3"/>
  <c r="M68" i="15" s="1"/>
  <c r="F25" i="3"/>
  <c r="R69" i="15" s="1"/>
  <c r="H25" i="3"/>
  <c r="T69" i="15" s="1"/>
  <c r="J25" i="3"/>
  <c r="X69" i="15" s="1"/>
  <c r="L25" i="3"/>
  <c r="N25" i="3"/>
  <c r="E27" i="3"/>
  <c r="Y69" i="15" s="1"/>
  <c r="G27" i="3"/>
  <c r="AA69" i="15" s="1"/>
  <c r="I27" i="3"/>
  <c r="K27" i="3"/>
  <c r="M27" i="3"/>
  <c r="AC69" i="15" s="1"/>
  <c r="F29" i="3"/>
  <c r="AH69" i="15" s="1"/>
  <c r="H29" i="3"/>
  <c r="AJ69" i="15" s="1"/>
  <c r="J29" i="3"/>
  <c r="AN69" i="15" s="1"/>
  <c r="L29" i="3"/>
  <c r="N29" i="3"/>
  <c r="E31" i="3"/>
  <c r="A106" i="15" s="1"/>
  <c r="G31" i="3"/>
  <c r="C106" i="15" s="1"/>
  <c r="I31" i="3"/>
  <c r="K31" i="3"/>
  <c r="M31" i="3"/>
  <c r="E106" i="15" s="1"/>
  <c r="F33" i="3"/>
  <c r="J109" i="15" s="1"/>
  <c r="H33" i="3"/>
  <c r="L109" i="15" s="1"/>
  <c r="J33" i="3"/>
  <c r="P109" i="15" s="1"/>
  <c r="L33" i="3"/>
  <c r="N33" i="3"/>
  <c r="E35" i="3"/>
  <c r="Q108" i="15" s="1"/>
  <c r="G35" i="3"/>
  <c r="S108" i="15" s="1"/>
  <c r="I35" i="3"/>
  <c r="K35" i="3"/>
  <c r="M35" i="3"/>
  <c r="U108" i="15" s="1"/>
  <c r="F37" i="3"/>
  <c r="Z110" i="15" s="1"/>
  <c r="H37" i="3"/>
  <c r="AB110" i="15" s="1"/>
  <c r="J37" i="3"/>
  <c r="AF110" i="15" s="1"/>
  <c r="L37" i="3"/>
  <c r="N37" i="3"/>
  <c r="E39" i="3"/>
  <c r="AG111" i="15" s="1"/>
  <c r="G39" i="3"/>
  <c r="AI111" i="15" s="1"/>
  <c r="I39" i="3"/>
  <c r="K39" i="3"/>
  <c r="M39" i="3"/>
  <c r="AK111" i="15" s="1"/>
  <c r="F41" i="3"/>
  <c r="H41" i="3"/>
  <c r="J41" i="3"/>
  <c r="L41" i="3"/>
  <c r="N41" i="3"/>
  <c r="E43" i="3"/>
  <c r="G43" i="3"/>
  <c r="I43" i="3"/>
  <c r="K43" i="3"/>
  <c r="M43" i="3"/>
  <c r="F45" i="3"/>
  <c r="H45" i="3"/>
  <c r="J45" i="3"/>
  <c r="L45" i="3"/>
  <c r="N45" i="3"/>
  <c r="E47" i="3"/>
  <c r="G47" i="3"/>
  <c r="I47" i="3"/>
  <c r="K47" i="3"/>
  <c r="O47" i="3"/>
  <c r="F49" i="3"/>
  <c r="J49" i="3"/>
  <c r="N49" i="3"/>
  <c r="F5" i="4"/>
  <c r="B21" i="16" s="1"/>
  <c r="H5" i="4"/>
  <c r="D21" i="16" s="1"/>
  <c r="J5" i="4"/>
  <c r="H21" i="16" s="1"/>
  <c r="L5" i="4"/>
  <c r="N5" i="4"/>
  <c r="P5" i="4"/>
  <c r="G21" i="16" s="1"/>
  <c r="F9" i="4"/>
  <c r="R21" i="16" s="1"/>
  <c r="H9" i="4"/>
  <c r="T21" i="16" s="1"/>
  <c r="J9" i="4"/>
  <c r="X21" i="16" s="1"/>
  <c r="L9" i="4"/>
  <c r="N9" i="4"/>
  <c r="P9" i="4"/>
  <c r="W21" i="16" s="1"/>
  <c r="F13" i="4"/>
  <c r="AH20" i="16" s="1"/>
  <c r="H13" i="4"/>
  <c r="AJ20" i="16" s="1"/>
  <c r="J13" i="4"/>
  <c r="AN20" i="16" s="1"/>
  <c r="L13" i="4"/>
  <c r="N13" i="4"/>
  <c r="P13" i="4"/>
  <c r="O90" i="10" s="1"/>
  <c r="F17" i="4"/>
  <c r="J62" i="16" s="1"/>
  <c r="H17" i="4"/>
  <c r="L62" i="16" s="1"/>
  <c r="J17" i="4"/>
  <c r="P62" i="16" s="1"/>
  <c r="L17" i="4"/>
  <c r="N17" i="4"/>
  <c r="P17" i="4"/>
  <c r="O62" i="16" s="1"/>
  <c r="F21" i="4"/>
  <c r="Z61" i="16" s="1"/>
  <c r="H21" i="4"/>
  <c r="AB61" i="16" s="1"/>
  <c r="J21" i="4"/>
  <c r="AF61" i="16" s="1"/>
  <c r="L21" i="4"/>
  <c r="N21" i="4"/>
  <c r="P21" i="4"/>
  <c r="AE61" i="16" s="1"/>
  <c r="F25" i="4"/>
  <c r="B105" i="16" s="1"/>
  <c r="H25" i="4"/>
  <c r="D105" i="16" s="1"/>
  <c r="J25" i="4"/>
  <c r="H105" i="16" s="1"/>
  <c r="L25" i="4"/>
  <c r="N25" i="4"/>
  <c r="P25" i="4"/>
  <c r="G105" i="16" s="1"/>
  <c r="F29" i="4"/>
  <c r="R101" i="16" s="1"/>
  <c r="H29" i="4"/>
  <c r="T101" i="16" s="1"/>
  <c r="J29" i="4"/>
  <c r="X101" i="16" s="1"/>
  <c r="L29" i="4"/>
  <c r="N29" i="4"/>
  <c r="P29" i="4"/>
  <c r="W101" i="16" s="1"/>
  <c r="F51" i="3"/>
  <c r="J51" i="3"/>
  <c r="L51" i="3"/>
  <c r="N51" i="3"/>
  <c r="E5" i="4"/>
  <c r="A21" i="16" s="1"/>
  <c r="G5" i="4"/>
  <c r="C21" i="16" s="1"/>
  <c r="I5" i="4"/>
  <c r="K5" i="4"/>
  <c r="M5" i="4"/>
  <c r="E21" i="16" s="1"/>
  <c r="F7" i="4"/>
  <c r="J21" i="16" s="1"/>
  <c r="H7" i="4"/>
  <c r="L21" i="16" s="1"/>
  <c r="J7" i="4"/>
  <c r="P21" i="16" s="1"/>
  <c r="L7" i="4"/>
  <c r="N7" i="4"/>
  <c r="E9" i="4"/>
  <c r="Q21" i="16" s="1"/>
  <c r="G9" i="4"/>
  <c r="S21" i="16" s="1"/>
  <c r="I9" i="4"/>
  <c r="K9" i="4"/>
  <c r="M9" i="4"/>
  <c r="U21" i="16" s="1"/>
  <c r="F11" i="4"/>
  <c r="Z22" i="16" s="1"/>
  <c r="H11" i="4"/>
  <c r="AB22" i="16" s="1"/>
  <c r="J11" i="4"/>
  <c r="AF22" i="16" s="1"/>
  <c r="L11" i="4"/>
  <c r="N11" i="4"/>
  <c r="E13" i="4"/>
  <c r="AG20" i="16" s="1"/>
  <c r="G13" i="4"/>
  <c r="AI20" i="16" s="1"/>
  <c r="I13" i="4"/>
  <c r="K13" i="4"/>
  <c r="M13" i="4"/>
  <c r="AK20" i="16" s="1"/>
  <c r="F15" i="4"/>
  <c r="B62" i="16" s="1"/>
  <c r="H15" i="4"/>
  <c r="D62" i="16" s="1"/>
  <c r="J15" i="4"/>
  <c r="H62" i="16" s="1"/>
  <c r="L15" i="4"/>
  <c r="N15" i="4"/>
  <c r="E17" i="4"/>
  <c r="I62" i="16" s="1"/>
  <c r="G17" i="4"/>
  <c r="K62" i="16" s="1"/>
  <c r="I17" i="4"/>
  <c r="K17" i="4"/>
  <c r="M17" i="4"/>
  <c r="M62" i="16" s="1"/>
  <c r="F19" i="4"/>
  <c r="R62" i="16" s="1"/>
  <c r="H19" i="4"/>
  <c r="T62" i="16" s="1"/>
  <c r="J19" i="4"/>
  <c r="X62" i="16" s="1"/>
  <c r="L19" i="4"/>
  <c r="N19" i="4"/>
  <c r="E21" i="4"/>
  <c r="Y61" i="16" s="1"/>
  <c r="G21" i="4"/>
  <c r="AA61" i="16" s="1"/>
  <c r="I21" i="4"/>
  <c r="K21" i="4"/>
  <c r="M21" i="4"/>
  <c r="AC61" i="16" s="1"/>
  <c r="F23" i="4"/>
  <c r="AH62" i="16" s="1"/>
  <c r="H23" i="4"/>
  <c r="AJ62" i="16" s="1"/>
  <c r="J23" i="4"/>
  <c r="AN62" i="16" s="1"/>
  <c r="L23" i="4"/>
  <c r="N23" i="4"/>
  <c r="E25" i="4"/>
  <c r="A105" i="16" s="1"/>
  <c r="G25" i="4"/>
  <c r="C105" i="16" s="1"/>
  <c r="I25" i="4"/>
  <c r="K25" i="4"/>
  <c r="M25" i="4"/>
  <c r="E105" i="16" s="1"/>
  <c r="F27" i="4"/>
  <c r="J100" i="16" s="1"/>
  <c r="H27" i="4"/>
  <c r="L100" i="16" s="1"/>
  <c r="J27" i="4"/>
  <c r="P100" i="16" s="1"/>
  <c r="L27" i="4"/>
  <c r="N27" i="4"/>
  <c r="E29" i="4"/>
  <c r="Q101" i="16" s="1"/>
  <c r="G29" i="4"/>
  <c r="S101" i="16" s="1"/>
  <c r="I29" i="4"/>
  <c r="K29" i="4"/>
  <c r="M29" i="4"/>
  <c r="U101" i="16" s="1"/>
  <c r="O31" i="4"/>
  <c r="AD102" i="16" s="1"/>
  <c r="M31" i="4"/>
  <c r="AC102" i="16" s="1"/>
  <c r="F31" i="4"/>
  <c r="Z102" i="16" s="1"/>
  <c r="H31" i="4"/>
  <c r="AB102" i="16" s="1"/>
  <c r="J31" i="4"/>
  <c r="AF102" i="16" s="1"/>
  <c r="L31" i="4"/>
  <c r="P31" i="4"/>
  <c r="AE102" i="16" s="1"/>
  <c r="F33" i="4"/>
  <c r="H33" i="4"/>
  <c r="J33" i="4"/>
  <c r="L33" i="4"/>
  <c r="N33" i="4"/>
  <c r="AK15" i="16"/>
  <c r="AM15" i="16" s="1"/>
  <c r="M95" i="16"/>
  <c r="O95" i="16" s="1"/>
  <c r="U96" i="16"/>
  <c r="W96" i="16" s="1"/>
  <c r="C20" i="9"/>
  <c r="I9" i="7"/>
  <c r="C19" i="9"/>
  <c r="I5" i="7"/>
  <c r="M7" i="9"/>
  <c r="N7" i="9"/>
  <c r="I8" i="7"/>
  <c r="D59" i="9"/>
  <c r="I7" i="9"/>
  <c r="E16" i="7"/>
  <c r="E24" i="7" s="1"/>
  <c r="J7" i="9"/>
  <c r="I10" i="7"/>
  <c r="I15" i="7"/>
  <c r="O7" i="9"/>
  <c r="Y5" i="9"/>
  <c r="F44" i="9"/>
  <c r="F59" i="9"/>
  <c r="F50" i="9"/>
  <c r="C34" i="9"/>
  <c r="F39" i="9"/>
  <c r="F7" i="9"/>
  <c r="C4" i="9"/>
  <c r="AB9" i="10"/>
  <c r="J4" i="7" s="1"/>
  <c r="D4" i="9"/>
  <c r="D7" i="9" s="1"/>
  <c r="G39" i="9"/>
  <c r="AB75" i="10"/>
  <c r="F24" i="9"/>
  <c r="E24" i="9"/>
  <c r="G24" i="9"/>
  <c r="E59" i="9"/>
  <c r="G54" i="9"/>
  <c r="E54" i="9"/>
  <c r="D54" i="9"/>
  <c r="AC6" i="9"/>
  <c r="G25" i="9"/>
  <c r="V6" i="9"/>
  <c r="X6" i="9"/>
  <c r="G14" i="9"/>
  <c r="E60" i="9"/>
  <c r="D14" i="9"/>
  <c r="D24" i="9"/>
  <c r="E44" i="9"/>
  <c r="D50" i="9"/>
  <c r="K7" i="9"/>
  <c r="F25" i="9"/>
  <c r="AE4" i="9"/>
  <c r="AE7" i="9" s="1"/>
  <c r="AE8" i="9" s="1"/>
  <c r="AC5" i="9"/>
  <c r="F16" i="7"/>
  <c r="F17" i="7" s="1"/>
  <c r="F21" i="7" s="1"/>
  <c r="G35" i="9"/>
  <c r="Y6" i="9"/>
  <c r="F10" i="9"/>
  <c r="F12" i="9" s="1"/>
  <c r="F34" i="9"/>
  <c r="D30" i="9"/>
  <c r="G44" i="9"/>
  <c r="F245" i="10"/>
  <c r="AD5" i="9"/>
  <c r="U6" i="9"/>
  <c r="AA6" i="9"/>
  <c r="I13" i="7"/>
  <c r="AD6" i="9"/>
  <c r="AF6" i="9"/>
  <c r="D10" i="9"/>
  <c r="D12" i="9" s="1"/>
  <c r="G9" i="9"/>
  <c r="D29" i="9"/>
  <c r="E30" i="9"/>
  <c r="D34" i="9"/>
  <c r="D39" i="9"/>
  <c r="D44" i="9"/>
  <c r="E55" i="9"/>
  <c r="G59" i="9"/>
  <c r="AA4" i="9"/>
  <c r="AA7" i="9" s="1"/>
  <c r="AA8" i="9" s="1"/>
  <c r="AE5" i="9"/>
  <c r="D45" i="9"/>
  <c r="F40" i="9"/>
  <c r="G30" i="9"/>
  <c r="F29" i="9"/>
  <c r="G29" i="9"/>
  <c r="E29" i="9"/>
  <c r="D19" i="9"/>
  <c r="F19" i="9"/>
  <c r="E19" i="9"/>
  <c r="E50" i="9"/>
  <c r="W6" i="9"/>
  <c r="E10" i="9"/>
  <c r="Z4" i="9"/>
  <c r="Z7" i="9" s="1"/>
  <c r="Z8" i="9" s="1"/>
  <c r="AD4" i="9"/>
  <c r="AD7" i="9" s="1"/>
  <c r="AD8" i="9" s="1"/>
  <c r="AB6" i="9"/>
  <c r="H7" i="9"/>
  <c r="Z6" i="9"/>
  <c r="I12" i="7"/>
  <c r="G34" i="9"/>
  <c r="AF5" i="9"/>
  <c r="AB5" i="9"/>
  <c r="D16" i="7"/>
  <c r="L7" i="9"/>
  <c r="E34" i="9"/>
  <c r="C170" i="10"/>
  <c r="E49" i="9"/>
  <c r="AF4" i="9"/>
  <c r="AF7" i="9" s="1"/>
  <c r="AF8" i="9" s="1"/>
  <c r="Z5" i="9"/>
  <c r="AE6" i="9"/>
  <c r="AB13" i="10"/>
  <c r="AC13" i="10" s="1"/>
  <c r="AD13" i="10" s="1"/>
  <c r="G5" i="9"/>
  <c r="G7" i="9" s="1"/>
  <c r="AB10" i="10"/>
  <c r="G16" i="7"/>
  <c r="Y4" i="9"/>
  <c r="Y7" i="9" s="1"/>
  <c r="Y8" i="9" s="1"/>
  <c r="AC4" i="9"/>
  <c r="AC7" i="9" s="1"/>
  <c r="AC8" i="9" s="1"/>
  <c r="AA5" i="9"/>
  <c r="G10" i="9"/>
  <c r="E14" i="9"/>
  <c r="AB4" i="9"/>
  <c r="AB7" i="9" s="1"/>
  <c r="AB8" i="9" s="1"/>
  <c r="F14" i="9"/>
  <c r="E9" i="9"/>
  <c r="E7" i="9"/>
  <c r="AK24" i="13" l="1"/>
  <c r="G49" i="9"/>
  <c r="D49" i="9"/>
  <c r="D52" i="9" s="1"/>
  <c r="F49" i="9"/>
  <c r="W4" i="9" s="1"/>
  <c r="C39" i="9"/>
  <c r="E45" i="9"/>
  <c r="E47" i="9" s="1"/>
  <c r="O88" i="10"/>
  <c r="O49" i="10"/>
  <c r="O45" i="10"/>
  <c r="G20" i="9"/>
  <c r="AB78" i="10"/>
  <c r="AM20" i="16"/>
  <c r="AN24" i="13"/>
  <c r="H70" i="13"/>
  <c r="G110" i="12"/>
  <c r="O77" i="10"/>
  <c r="AM103" i="13"/>
  <c r="O47" i="10"/>
  <c r="W228" i="11"/>
  <c r="O75" i="10"/>
  <c r="AM185" i="11"/>
  <c r="D15" i="9"/>
  <c r="G15" i="9"/>
  <c r="AB63" i="10"/>
  <c r="E15" i="9"/>
  <c r="F15" i="9"/>
  <c r="E62" i="9"/>
  <c r="E17" i="7"/>
  <c r="E21" i="7" s="1"/>
  <c r="G27" i="9"/>
  <c r="F42" i="9"/>
  <c r="E32" i="9"/>
  <c r="D32" i="9"/>
  <c r="E40" i="9"/>
  <c r="E42" i="9" s="1"/>
  <c r="D47" i="9"/>
  <c r="F27" i="9"/>
  <c r="G37" i="9"/>
  <c r="G19" i="9"/>
  <c r="AB57" i="10"/>
  <c r="AC57" i="10" s="1"/>
  <c r="AD57" i="10" s="1"/>
  <c r="D17" i="9"/>
  <c r="AC9" i="10"/>
  <c r="AD9" i="10" s="1"/>
  <c r="AE9" i="10"/>
  <c r="AE10" i="10"/>
  <c r="F55" i="9"/>
  <c r="F57" i="9" s="1"/>
  <c r="E57" i="9"/>
  <c r="D245" i="10"/>
  <c r="K7" i="7"/>
  <c r="E245" i="10"/>
  <c r="D60" i="9"/>
  <c r="D62" i="9" s="1"/>
  <c r="V4" i="9"/>
  <c r="D40" i="9"/>
  <c r="D42" i="9" s="1"/>
  <c r="F20" i="9"/>
  <c r="F22" i="9" s="1"/>
  <c r="F24" i="7"/>
  <c r="D55" i="9"/>
  <c r="D57" i="9" s="1"/>
  <c r="G32" i="9"/>
  <c r="AB59" i="10"/>
  <c r="K6" i="7" s="1"/>
  <c r="F60" i="9"/>
  <c r="F62" i="9" s="1"/>
  <c r="G50" i="9"/>
  <c r="D25" i="9"/>
  <c r="D27" i="9" s="1"/>
  <c r="E20" i="9"/>
  <c r="E22" i="9" s="1"/>
  <c r="G17" i="7"/>
  <c r="G21" i="7" s="1"/>
  <c r="G24" i="7"/>
  <c r="AC75" i="10"/>
  <c r="AD75" i="10" s="1"/>
  <c r="J7" i="7"/>
  <c r="I7" i="7" s="1"/>
  <c r="G55" i="9"/>
  <c r="G57" i="9" s="1"/>
  <c r="G245" i="10"/>
  <c r="E35" i="9"/>
  <c r="E37" i="9" s="1"/>
  <c r="G40" i="9"/>
  <c r="G42" i="9" s="1"/>
  <c r="E25" i="9"/>
  <c r="E27" i="9" s="1"/>
  <c r="D24" i="7"/>
  <c r="D17" i="7"/>
  <c r="D21" i="7" s="1"/>
  <c r="AC10" i="10"/>
  <c r="AD10" i="10" s="1"/>
  <c r="K4" i="7"/>
  <c r="I4" i="7" s="1"/>
  <c r="D20" i="9"/>
  <c r="F30" i="9"/>
  <c r="F32" i="9" s="1"/>
  <c r="E12" i="9"/>
  <c r="G45" i="9"/>
  <c r="G47" i="9" s="1"/>
  <c r="F17" i="9"/>
  <c r="G60" i="9"/>
  <c r="G62" i="9" s="1"/>
  <c r="E52" i="9"/>
  <c r="F45" i="9"/>
  <c r="F47" i="9" s="1"/>
  <c r="F35" i="9"/>
  <c r="F37" i="9" s="1"/>
  <c r="D35" i="9"/>
  <c r="D37" i="9" s="1"/>
  <c r="G17" i="9"/>
  <c r="E17" i="9"/>
  <c r="G12" i="9"/>
  <c r="U4" i="9" l="1"/>
  <c r="AC78" i="10"/>
  <c r="AD78" i="10" s="1"/>
  <c r="F52" i="9"/>
  <c r="G52" i="9"/>
  <c r="G22" i="9"/>
  <c r="J6" i="7"/>
  <c r="I6" i="7" s="1"/>
  <c r="I16" i="7" s="1"/>
  <c r="I17" i="7" s="1"/>
  <c r="AE57" i="10"/>
  <c r="X4" i="9"/>
  <c r="AE75" i="10"/>
  <c r="AC59" i="10"/>
  <c r="AD59" i="10" s="1"/>
  <c r="AE59" i="10"/>
  <c r="AC63" i="10"/>
  <c r="AD63" i="10" s="1"/>
  <c r="X5" i="9"/>
  <c r="W5" i="9"/>
  <c r="W7" i="9" s="1"/>
  <c r="W8" i="9" s="1"/>
  <c r="K16" i="7"/>
  <c r="K17" i="7" s="1"/>
  <c r="K21" i="7" s="1"/>
  <c r="L21" i="7" s="1"/>
  <c r="M21" i="7" s="1"/>
  <c r="D22" i="9"/>
  <c r="U5" i="9"/>
  <c r="V5" i="9"/>
  <c r="V7" i="9" s="1"/>
  <c r="V8" i="9" s="1"/>
  <c r="U7" i="9" l="1"/>
  <c r="U8" i="9" s="1"/>
  <c r="J16" i="7"/>
  <c r="J17" i="7" s="1"/>
  <c r="K20" i="7" s="1"/>
  <c r="L20" i="7" s="1"/>
  <c r="M20" i="7" s="1"/>
  <c r="X7" i="9"/>
  <c r="X8" i="9" s="1"/>
  <c r="K23" i="7" l="1"/>
  <c r="N20" i="7" s="1"/>
  <c r="N21" i="7" l="1"/>
  <c r="L23" i="7"/>
  <c r="M23" i="7" s="1"/>
  <c r="F98" i="10" l="1"/>
</calcChain>
</file>

<file path=xl/sharedStrings.xml><?xml version="1.0" encoding="utf-8"?>
<sst xmlns="http://schemas.openxmlformats.org/spreadsheetml/2006/main" count="5180" uniqueCount="1186">
  <si>
    <t>Перечень технологических карт для учащихся общеобразовательных учреждений</t>
  </si>
  <si>
    <t>Наименование блюда</t>
  </si>
  <si>
    <t>ВЫХОД</t>
  </si>
  <si>
    <t>Выход, г</t>
  </si>
  <si>
    <t>Пищевые вещества</t>
  </si>
  <si>
    <t>Витамины, мг</t>
  </si>
  <si>
    <t>Минер. вещества, мг</t>
  </si>
  <si>
    <t>СБОРНИК</t>
  </si>
  <si>
    <t>выход меняемый</t>
  </si>
  <si>
    <t>выход регламент, гр</t>
  </si>
  <si>
    <t>Белки, г</t>
  </si>
  <si>
    <t>Жиры, г</t>
  </si>
  <si>
    <t>Углеводы, г</t>
  </si>
  <si>
    <t>Энерг. ценность, ккал</t>
  </si>
  <si>
    <r>
      <t>В</t>
    </r>
    <r>
      <rPr>
        <b/>
        <vertAlign val="subscript"/>
        <sz val="12"/>
        <rFont val="Times New Roman"/>
        <family val="1"/>
        <charset val="204"/>
      </rPr>
      <t>1</t>
    </r>
  </si>
  <si>
    <t>С</t>
  </si>
  <si>
    <t>А</t>
  </si>
  <si>
    <t>E</t>
  </si>
  <si>
    <t>Са</t>
  </si>
  <si>
    <t>Р</t>
  </si>
  <si>
    <t>Mg</t>
  </si>
  <si>
    <t>Fe</t>
  </si>
  <si>
    <t>№ сборника</t>
  </si>
  <si>
    <t>год сборника</t>
  </si>
  <si>
    <t>название сборника</t>
  </si>
  <si>
    <t xml:space="preserve"> -</t>
  </si>
  <si>
    <t>СЫР (ПОРЦИЯМИ)</t>
  </si>
  <si>
    <t>САЛАТ КАРТОФЕЛЬНЫЙ С СОЛЕНЫМИ ОГУРЦАМИ И ЗЕЛЕНЫМ ГОРОШКОМ</t>
  </si>
  <si>
    <t>САЛАТ ИЗ СВЕКЛЫ С ЯБЛОКАМИ</t>
  </si>
  <si>
    <t>САЛАТ ИЗ СВЕКЛЫ С ОГУРЦАМИ СОЛЕНЫМИ</t>
  </si>
  <si>
    <t>ИКРА КАБАЧКОВАЯ</t>
  </si>
  <si>
    <t>ПР</t>
  </si>
  <si>
    <t>ПЕЧЕНКА ПО-СТРОГАНОВСКИ</t>
  </si>
  <si>
    <t>80/50</t>
  </si>
  <si>
    <t>50/5</t>
  </si>
  <si>
    <t>75/20</t>
  </si>
  <si>
    <t>150/ 10</t>
  </si>
  <si>
    <t>200/10/10</t>
  </si>
  <si>
    <t>150/10/10</t>
  </si>
  <si>
    <t>200/5</t>
  </si>
  <si>
    <t xml:space="preserve">ОМЛЕТ НАТУРАЛЬНЫЙ </t>
  </si>
  <si>
    <t>РИС ОТВАРНОЙ</t>
  </si>
  <si>
    <t>100/ 5</t>
  </si>
  <si>
    <t xml:space="preserve">РАССОЛЬНИК ЛЕНИНГРАДСКИЙ </t>
  </si>
  <si>
    <t xml:space="preserve">СУП ИЗ ОВОЩЕЙ </t>
  </si>
  <si>
    <t>СУП КАРТОФЕЛЬНЫЙ С КРУПОЙ</t>
  </si>
  <si>
    <t>СУП КАРТОФЕЛЬНЫЙ С МАКАРОННЫМИ ИЗДЕЛИЯМИ</t>
  </si>
  <si>
    <t>СУП КАРТОФЕЛЬНЫЙ С КЛЕЦКАМИ</t>
  </si>
  <si>
    <t>СУП МОЛОЧНЫЙ С МАКАРОННЫМИ ИЗДЕЛИЯМИ</t>
  </si>
  <si>
    <t>СЛОЙКА С ПОВИДЛОМ</t>
  </si>
  <si>
    <t>БУЛОЧКА ДОМАШНЯЯ</t>
  </si>
  <si>
    <t>БУЛОЧКА ДОРОЖНАЯ</t>
  </si>
  <si>
    <t>ХЛЕБ ПШЕНИЧНЫЙ</t>
  </si>
  <si>
    <t>ХЛЕБ РЖАНО-ПШЕНИЧНЫЙ</t>
  </si>
  <si>
    <t>ИЗДЕЛИЕ КОНДИТЕРСКОЕ (ЗЕФИР)</t>
  </si>
  <si>
    <t>КОМПОТ ИЗ СМЕСИ СУХОФРУКТОВ</t>
  </si>
  <si>
    <t>200/15</t>
  </si>
  <si>
    <t>ЧАЙ С САХАРОМ И ЛИМОНОМ</t>
  </si>
  <si>
    <t>200/15/7</t>
  </si>
  <si>
    <t>ЧАЙ С МОЛОКОМ</t>
  </si>
  <si>
    <t>КОФЕЙНЫЙ НАПИТОК С МОЛОКОМ СГУЩЕНЫМ</t>
  </si>
  <si>
    <t>КАКАО C МОЛОКОМ СГУЩЕНЫМ</t>
  </si>
  <si>
    <t>НАПИТОК ИЗ ПЛОДОВ ШИПОВНИКА</t>
  </si>
  <si>
    <t>Б</t>
  </si>
  <si>
    <t>Ж</t>
  </si>
  <si>
    <t>У</t>
  </si>
  <si>
    <t>Э</t>
  </si>
  <si>
    <t>калл</t>
  </si>
  <si>
    <t>завтрак</t>
  </si>
  <si>
    <t>обед</t>
  </si>
  <si>
    <t>полдник</t>
  </si>
  <si>
    <t>Итого за 1 день:</t>
  </si>
  <si>
    <t>Итого за 2 день:</t>
  </si>
  <si>
    <t>Итого за 3 день:</t>
  </si>
  <si>
    <t>Итого за 4 день:</t>
  </si>
  <si>
    <t>Итого за 5 день:</t>
  </si>
  <si>
    <t>Итого за 6 день:</t>
  </si>
  <si>
    <t>Итого за 7 день:</t>
  </si>
  <si>
    <t>Итого за 8 день:</t>
  </si>
  <si>
    <t>Итого за 9 день:</t>
  </si>
  <si>
    <t>Итого за 10 день:</t>
  </si>
  <si>
    <t>Итого за 11 день:</t>
  </si>
  <si>
    <t>Итого за 12 день:</t>
  </si>
  <si>
    <t>средний</t>
  </si>
  <si>
    <t>%</t>
  </si>
  <si>
    <t>норма</t>
  </si>
  <si>
    <t>факт.</t>
  </si>
  <si>
    <t>откл%</t>
  </si>
  <si>
    <t>факт%</t>
  </si>
  <si>
    <t>Отклонения %</t>
  </si>
  <si>
    <t>Распределение в процентном отношении потребления пищевых веществ и энергии по приемам пищи обучающихся вобразовательных учреждениях</t>
  </si>
  <si>
    <t>Прием пищи</t>
  </si>
  <si>
    <t>Доля суточной потребности в пищевых веществах и энергии</t>
  </si>
  <si>
    <t>с 7 до 11 лет</t>
  </si>
  <si>
    <t>Завтрак в школе (первая смена)</t>
  </si>
  <si>
    <t>20-25 %</t>
  </si>
  <si>
    <t>Обед в школе</t>
  </si>
  <si>
    <t>30-35 %</t>
  </si>
  <si>
    <t>Полдник в школе</t>
  </si>
  <si>
    <t>Ужин</t>
  </si>
  <si>
    <t>Итого</t>
  </si>
  <si>
    <t>Потребность в пищевыхвеществах и энергии обучающихся общеобразовательных учреждений в возрасте с 7 до11 и с 11 лет и старше</t>
  </si>
  <si>
    <t>Название пищевых веществ</t>
  </si>
  <si>
    <t>Усредненная потребность в пищевых веществах для обучающихся двух возрастных групп</t>
  </si>
  <si>
    <t xml:space="preserve">с 11 лет </t>
  </si>
  <si>
    <t>Белки (г)</t>
  </si>
  <si>
    <t>Жиры (г)</t>
  </si>
  <si>
    <t>Углеводы (г)</t>
  </si>
  <si>
    <t>Энергетическая ценность (ккал)</t>
  </si>
  <si>
    <t>Витаин В1 (мг)</t>
  </si>
  <si>
    <t>Витаин В2 (мг)</t>
  </si>
  <si>
    <t>Витаин С (мг)</t>
  </si>
  <si>
    <t>Витаин А (мг рет. экв)</t>
  </si>
  <si>
    <t>Витаин Е (мг рет. экв)</t>
  </si>
  <si>
    <t>Кальцый (мг)</t>
  </si>
  <si>
    <t>Фосфоро (мг)</t>
  </si>
  <si>
    <t>Магний (мг)</t>
  </si>
  <si>
    <t>Железо (мг)</t>
  </si>
  <si>
    <t>Цинк (мг)</t>
  </si>
  <si>
    <t>Йод (мг)</t>
  </si>
  <si>
    <t>День</t>
  </si>
  <si>
    <t>Пищевые вещества, гр</t>
  </si>
  <si>
    <t>Белки</t>
  </si>
  <si>
    <t>Жиры</t>
  </si>
  <si>
    <t>Углеводы</t>
  </si>
  <si>
    <r>
      <t>В</t>
    </r>
    <r>
      <rPr>
        <b/>
        <vertAlign val="subscript"/>
        <sz val="12"/>
        <color indexed="8"/>
        <rFont val="Times New Roman"/>
        <family val="1"/>
        <charset val="204"/>
      </rPr>
      <t>1</t>
    </r>
  </si>
  <si>
    <t>Завтрак</t>
  </si>
  <si>
    <t>Обед</t>
  </si>
  <si>
    <t>Итого за 1 день</t>
  </si>
  <si>
    <t>Итого за 12 день</t>
  </si>
  <si>
    <t>Фактически за 12 дней</t>
  </si>
  <si>
    <t>Итого за 2 день</t>
  </si>
  <si>
    <t>Итого за 3 день</t>
  </si>
  <si>
    <t>Итого за 4 день</t>
  </si>
  <si>
    <t>Итого за 5 день</t>
  </si>
  <si>
    <t>Итого за 6 день</t>
  </si>
  <si>
    <t>Итого за 7 день</t>
  </si>
  <si>
    <t>Итого за 8 день</t>
  </si>
  <si>
    <t>Итого за 9 день</t>
  </si>
  <si>
    <t>Итого за 10 день</t>
  </si>
  <si>
    <t>Итого за 11 день</t>
  </si>
  <si>
    <t>№ 
ре-пта</t>
  </si>
  <si>
    <t>Энергетическая ценность, ккал</t>
  </si>
  <si>
    <t>Итого за день</t>
  </si>
  <si>
    <t>САЛАТЫ</t>
  </si>
  <si>
    <t>БУТЕРБРОД С СЫРОМ</t>
  </si>
  <si>
    <t>САЛАТ ИЗ СВЕЖИХ ОГУРЦОВ</t>
  </si>
  <si>
    <t>САЛАТ ИЗ СЫРЫХ ОВОЩЕЙ</t>
  </si>
  <si>
    <t>САЛАТ КАРТОФЕЛЬНЫЙ С КУКУРУЗОЙ И МОРКОВЬЮ</t>
  </si>
  <si>
    <t>САЛАТ КАРТОФЕЛЬНЫЙ С МОРКОВЬЮ И ЗЕЛЕНЫМ ГОРОШКОМ</t>
  </si>
  <si>
    <t>САЛАТ ИЗ ОВОЩЕЙ</t>
  </si>
  <si>
    <t>САЛАТ ИЗ СВЕКЛЫ ОТВАРНОЙ</t>
  </si>
  <si>
    <t>САЛАТ ОВОЩНОЙ С ЯБЛОКАМИ</t>
  </si>
  <si>
    <t>СУПЫ</t>
  </si>
  <si>
    <t>РАССОЛЬНИК ДОМАШНИЙ</t>
  </si>
  <si>
    <t>СУП С МАКАРОННЫМИ ИЗДЕЛИЯМИ И КАРТОФЕЛЕМ</t>
  </si>
  <si>
    <t>МЯСО</t>
  </si>
  <si>
    <t>ГУЯШ ИЗ ОТВАРНОЙ ГОВЯДИНЫ</t>
  </si>
  <si>
    <t>БИФШТЕКС РУБЛЕННЫЙ</t>
  </si>
  <si>
    <t>ПЕЧЕНЬ, ТУШЕНАЯ В СОУСЕ</t>
  </si>
  <si>
    <t>КОТЛЕТЫ ДОМАШНИЕ</t>
  </si>
  <si>
    <t xml:space="preserve">КОФЕЙНЫЙ НАПИТОК С МОЛОКОМ </t>
  </si>
  <si>
    <t>КАКАО C МОЛОКОМ</t>
  </si>
  <si>
    <t>КАРТОФЕЛЬ ОТВАРНОЙ</t>
  </si>
  <si>
    <t>КАШИ</t>
  </si>
  <si>
    <t>НАПИТКИ</t>
  </si>
  <si>
    <t>ПИРОГ ОТКРЫТЫЙ</t>
  </si>
  <si>
    <t>ПИРОЖКИ ПЕСОЧНЫЕ С ЯБЛОКОМ</t>
  </si>
  <si>
    <t>БУЛОЧКА С ПОВИДЛОМ ОБСЫПНАЯ</t>
  </si>
  <si>
    <t>КЕКС "СТОЛИЧНЫЙ"</t>
  </si>
  <si>
    <t>КЕКС "ТВОРОЖНЫЙ"</t>
  </si>
  <si>
    <t>ВЫПЕЧКА</t>
  </si>
  <si>
    <t>Сезон: весна - лето</t>
  </si>
  <si>
    <t>всего</t>
  </si>
  <si>
    <t>Наименование сырья</t>
  </si>
  <si>
    <t>брутто, г</t>
  </si>
  <si>
    <t>нетто, г</t>
  </si>
  <si>
    <t>1 порция</t>
  </si>
  <si>
    <t>100 порций</t>
  </si>
  <si>
    <t>Расход сырья и полуфабрикатов</t>
  </si>
  <si>
    <t>Выход</t>
  </si>
  <si>
    <t>Химический состав, витамины и микроэлементы на 1 порцию</t>
  </si>
  <si>
    <t>Белки(г)</t>
  </si>
  <si>
    <t>Са (мг)</t>
  </si>
  <si>
    <t>Мg (мг)</t>
  </si>
  <si>
    <t>Fe (мг)</t>
  </si>
  <si>
    <t>C (мг)</t>
  </si>
  <si>
    <t>Эн. цен-ность(ккал)</t>
  </si>
  <si>
    <r>
      <t xml:space="preserve">Номер рецептуры: </t>
    </r>
    <r>
      <rPr>
        <u/>
        <sz val="10"/>
        <color theme="1"/>
        <rFont val="Times New Roman"/>
        <family val="1"/>
        <charset val="204"/>
      </rPr>
      <t>3</t>
    </r>
  </si>
  <si>
    <r>
      <rPr>
        <b/>
        <sz val="10"/>
        <color theme="1"/>
        <rFont val="Times New Roman"/>
        <family val="1"/>
        <charset val="204"/>
      </rPr>
      <t>Наименование сборника рецептур:</t>
    </r>
    <r>
      <rPr>
        <sz val="10"/>
        <color theme="1"/>
        <rFont val="Times New Roman"/>
        <family val="1"/>
        <charset val="204"/>
      </rPr>
      <t xml:space="preserve"> </t>
    </r>
    <r>
      <rPr>
        <u/>
        <sz val="10"/>
        <color theme="1"/>
        <rFont val="Times New Roman"/>
        <family val="1"/>
        <charset val="204"/>
      </rPr>
      <t>Сборник рецептур на продукцию для обучающихся во всех</t>
    </r>
    <r>
      <rPr>
        <sz val="10"/>
        <color theme="1"/>
        <rFont val="Times New Roman"/>
        <family val="1"/>
        <charset val="204"/>
      </rPr>
      <t xml:space="preserve"> </t>
    </r>
  </si>
  <si>
    <r>
      <rPr>
        <u/>
        <sz val="10"/>
        <color theme="1"/>
        <rFont val="Times New Roman"/>
        <family val="1"/>
        <charset val="204"/>
      </rPr>
      <t>образовательных учреждениях М.П. Могильный Москва «Дели Принт» 2011 г</t>
    </r>
    <r>
      <rPr>
        <sz val="10"/>
        <color theme="1"/>
        <rFont val="Times New Roman"/>
        <family val="1"/>
        <charset val="204"/>
      </rPr>
      <t xml:space="preserve">  </t>
    </r>
  </si>
  <si>
    <t>Масло сливочное</t>
  </si>
  <si>
    <t>Хлеб</t>
  </si>
  <si>
    <r>
      <t xml:space="preserve">Технология приготовления: </t>
    </r>
    <r>
      <rPr>
        <sz val="10"/>
        <color theme="1"/>
        <rFont val="Times New Roman"/>
        <family val="1"/>
        <charset val="204"/>
      </rPr>
      <t>Ломтики хлеба намазать мвслом, а сверху кладут кусочек сыра.</t>
    </r>
  </si>
  <si>
    <r>
      <t xml:space="preserve">Номер рецептуры: </t>
    </r>
    <r>
      <rPr>
        <u/>
        <sz val="10"/>
        <color theme="1"/>
        <rFont val="Times New Roman"/>
        <family val="1"/>
        <charset val="204"/>
      </rPr>
      <t>6</t>
    </r>
  </si>
  <si>
    <t>Колбаса полукопченая</t>
  </si>
  <si>
    <r>
      <t xml:space="preserve">Технология приготовления: </t>
    </r>
    <r>
      <rPr>
        <sz val="10"/>
        <color theme="1"/>
        <rFont val="Times New Roman"/>
        <family val="1"/>
        <charset val="204"/>
      </rPr>
      <t>На ломтик хлеба укладывают колбасу, нарезаную тонкими кружочками.</t>
    </r>
  </si>
  <si>
    <r>
      <t xml:space="preserve">Номер рецептуры: </t>
    </r>
    <r>
      <rPr>
        <u/>
        <sz val="10"/>
        <color theme="1"/>
        <rFont val="Times New Roman"/>
        <family val="1"/>
        <charset val="204"/>
      </rPr>
      <t>7</t>
    </r>
  </si>
  <si>
    <r>
      <t xml:space="preserve">Технология приготовления: </t>
    </r>
    <r>
      <rPr>
        <sz val="10"/>
        <color theme="1"/>
        <rFont val="Times New Roman"/>
        <family val="1"/>
        <charset val="204"/>
      </rPr>
      <t>Ломтики хлеба намазывают мвслом, а сверху кладут кусочек сыра и помещают в жарочный шкаф на 3 - 5 минут до образования румяной корочки.</t>
    </r>
  </si>
  <si>
    <r>
      <t xml:space="preserve">Номер рецептуры: </t>
    </r>
    <r>
      <rPr>
        <u/>
        <sz val="10"/>
        <color theme="1"/>
        <rFont val="Times New Roman"/>
        <family val="1"/>
        <charset val="204"/>
      </rPr>
      <t>14</t>
    </r>
  </si>
  <si>
    <r>
      <t xml:space="preserve">Технология приготовления: </t>
    </r>
    <r>
      <rPr>
        <sz val="10"/>
        <color theme="1"/>
        <rFont val="Times New Roman"/>
        <family val="1"/>
        <charset val="204"/>
      </rPr>
      <t>Масло нарезают на кусочки прямоугольной или другой формы.</t>
    </r>
  </si>
  <si>
    <r>
      <t xml:space="preserve">Номер рецептуры: </t>
    </r>
    <r>
      <rPr>
        <u/>
        <sz val="10"/>
        <color theme="1"/>
        <rFont val="Times New Roman"/>
        <family val="1"/>
        <charset val="204"/>
      </rPr>
      <t>15</t>
    </r>
  </si>
  <si>
    <r>
      <t xml:space="preserve">Технология приготовления: </t>
    </r>
    <r>
      <rPr>
        <sz val="10"/>
        <color theme="1"/>
        <rFont val="Times New Roman"/>
        <family val="1"/>
        <charset val="204"/>
      </rPr>
      <t>Сыр нарезают ломтиками толщиной 2 - 3 мм. Плавленый сыр рекомендуется использовать в мелкой расфасовке по 30 г.</t>
    </r>
  </si>
  <si>
    <r>
      <t xml:space="preserve">Номер рецептуры: </t>
    </r>
    <r>
      <rPr>
        <u/>
        <sz val="10"/>
        <color theme="1"/>
        <rFont val="Times New Roman"/>
        <family val="1"/>
        <charset val="204"/>
      </rPr>
      <t>16</t>
    </r>
  </si>
  <si>
    <r>
      <t xml:space="preserve">Технология приготовления: </t>
    </r>
    <r>
      <rPr>
        <sz val="10"/>
        <color theme="1"/>
        <rFont val="Times New Roman"/>
        <family val="1"/>
        <charset val="204"/>
      </rPr>
      <t>С колбасы удаляют шпагат, оболочку, очищают, нарезают наискось по 2 - 3 кусочка на порцию. Колбасу нарезают за 30 - 40 минут до отпуска и хранят на холоде не больше 1 часа.</t>
    </r>
  </si>
  <si>
    <r>
      <t xml:space="preserve">Номер рецептуры: </t>
    </r>
    <r>
      <rPr>
        <u/>
        <sz val="10"/>
        <color theme="1"/>
        <rFont val="Times New Roman"/>
        <family val="1"/>
        <charset val="204"/>
      </rPr>
      <t>20</t>
    </r>
  </si>
  <si>
    <t>Огурцы свежие</t>
  </si>
  <si>
    <t>Масло растительное</t>
  </si>
  <si>
    <r>
      <t xml:space="preserve">Технология приготовления: </t>
    </r>
    <r>
      <rPr>
        <sz val="10"/>
        <color theme="1"/>
        <rFont val="Times New Roman"/>
        <family val="1"/>
        <charset val="204"/>
      </rPr>
      <t>Свежие, нарезанные кружочками или ломтиками огурцы солят, поливают растительным масло. При отпуске салата, можно добавить зеленый лук (10 - 15 г) и яйцо - 1/2 - 1/4 шт. на порцию. Салат можно отпускать также с зеленым луком (125 г нетто лука еа 1 кг салата), соответственно изменив норму закладки огурцов.</t>
    </r>
  </si>
  <si>
    <r>
      <t xml:space="preserve">Номер рецептуры: </t>
    </r>
    <r>
      <rPr>
        <u/>
        <sz val="10"/>
        <color theme="1"/>
        <rFont val="Times New Roman"/>
        <family val="1"/>
        <charset val="204"/>
      </rPr>
      <t>21</t>
    </r>
  </si>
  <si>
    <t>Огурцы соленые</t>
  </si>
  <si>
    <t>Лук репчатый</t>
  </si>
  <si>
    <t>или лук зеленый</t>
  </si>
  <si>
    <r>
      <t xml:space="preserve">Технология приготовления: </t>
    </r>
    <r>
      <rPr>
        <sz val="10"/>
        <color theme="1"/>
        <rFont val="Times New Roman"/>
        <family val="1"/>
        <charset val="204"/>
      </rPr>
      <t>Огурцы нарезают тонкими ломтиками, добавляют шинкованный репчатый или зеленый лук и поливают маслом растительным.</t>
    </r>
  </si>
  <si>
    <t>ИП Л.М. Чижикова</t>
  </si>
  <si>
    <t>св-во № 308380118300020</t>
  </si>
  <si>
    <t>приложение 5 к СанПин 2.4.2409-08</t>
  </si>
  <si>
    <t>Технологическая карта  кулинарного изделия (блюда) № 2</t>
  </si>
  <si>
    <t>Технологическая карта  кулинарного изделия (блюда) № 1</t>
  </si>
  <si>
    <t>Технологическая карта  кулинарногоизделия (блюда) № 3</t>
  </si>
  <si>
    <t>Технологическая карта  кулинарного изделия (блюда) № 4</t>
  </si>
  <si>
    <t>Технологическая карта  кулинарного изделия (блюда) № 8</t>
  </si>
  <si>
    <t>Технологическая карта  кулинарного изделия (блюда) № 7</t>
  </si>
  <si>
    <t>Технологическая карта  кулинарного изделия (блюда) № 6</t>
  </si>
  <si>
    <t>Технологическая карта  кулинарного изделия (блюда) № 5</t>
  </si>
  <si>
    <r>
      <t xml:space="preserve">Наименование кулинарного изделия (блюда): </t>
    </r>
    <r>
      <rPr>
        <u/>
        <sz val="10"/>
        <color theme="1"/>
        <rFont val="Times New Roman"/>
        <family val="1"/>
        <charset val="204"/>
      </rPr>
      <t>Бутерброд с сыром</t>
    </r>
  </si>
  <si>
    <r>
      <t xml:space="preserve">Наименование кулинарногоизделия (блюда): </t>
    </r>
    <r>
      <rPr>
        <u/>
        <sz val="10"/>
        <color theme="1"/>
        <rFont val="Times New Roman"/>
        <family val="1"/>
        <charset val="204"/>
      </rPr>
      <t>Бутерброд с колбасой</t>
    </r>
  </si>
  <si>
    <r>
      <t xml:space="preserve">Наименование кулинарного изделия (блюда): </t>
    </r>
    <r>
      <rPr>
        <u/>
        <sz val="10"/>
        <color theme="1"/>
        <rFont val="Times New Roman"/>
        <family val="1"/>
        <charset val="204"/>
      </rPr>
      <t>Бутерброд горячий с сыром</t>
    </r>
  </si>
  <si>
    <r>
      <t xml:space="preserve">Наименование кулинарного изделия (блюда): </t>
    </r>
    <r>
      <rPr>
        <u/>
        <sz val="10"/>
        <color theme="1"/>
        <rFont val="Times New Roman"/>
        <family val="1"/>
        <charset val="204"/>
      </rPr>
      <t>Сыр (порциями)</t>
    </r>
  </si>
  <si>
    <r>
      <t xml:space="preserve">Наименование кулинарного изделия (блюда): </t>
    </r>
    <r>
      <rPr>
        <u/>
        <sz val="10"/>
        <color theme="1"/>
        <rFont val="Times New Roman"/>
        <family val="1"/>
        <charset val="204"/>
      </rPr>
      <t>Колбаса или ветчина (порциями)</t>
    </r>
  </si>
  <si>
    <r>
      <t xml:space="preserve">Наименование кулинарного изделия (блюда): </t>
    </r>
    <r>
      <rPr>
        <u/>
        <sz val="10"/>
        <color theme="1"/>
        <rFont val="Times New Roman"/>
        <family val="1"/>
        <charset val="204"/>
      </rPr>
      <t>Салат из свежих огурцов</t>
    </r>
  </si>
  <si>
    <r>
      <t xml:space="preserve">Наименование кулинарного изделия (блюда): </t>
    </r>
    <r>
      <rPr>
        <u/>
        <sz val="10"/>
        <color theme="1"/>
        <rFont val="Times New Roman"/>
        <family val="1"/>
        <charset val="204"/>
      </rPr>
      <t>Салат из соленых огурцов с луком</t>
    </r>
  </si>
  <si>
    <t>Утверждаю: Зав. пр-вом</t>
  </si>
  <si>
    <t>Технологическая карта  кулинарного изделия (блюда) № 9</t>
  </si>
  <si>
    <t>Технологическая карта  кулинарного изделия (блюда) № 10</t>
  </si>
  <si>
    <t>Технологическая карта  кулинарного изделия (блюда) № 11</t>
  </si>
  <si>
    <t>Технологическая карта  кулинарного изделия (блюда) № 12</t>
  </si>
  <si>
    <r>
      <t xml:space="preserve">Номер рецептуры: </t>
    </r>
    <r>
      <rPr>
        <u/>
        <sz val="10"/>
        <color theme="1"/>
        <rFont val="Times New Roman"/>
        <family val="1"/>
        <charset val="204"/>
      </rPr>
      <t>23</t>
    </r>
  </si>
  <si>
    <r>
      <t xml:space="preserve">Номер рецептуры: </t>
    </r>
    <r>
      <rPr>
        <u/>
        <sz val="10"/>
        <color theme="1"/>
        <rFont val="Times New Roman"/>
        <family val="1"/>
        <charset val="204"/>
      </rPr>
      <t>24</t>
    </r>
  </si>
  <si>
    <r>
      <t xml:space="preserve">Номер рецептуры: </t>
    </r>
    <r>
      <rPr>
        <u/>
        <sz val="10"/>
        <color theme="1"/>
        <rFont val="Times New Roman"/>
        <family val="1"/>
        <charset val="204"/>
      </rPr>
      <t>29</t>
    </r>
  </si>
  <si>
    <r>
      <t xml:space="preserve">Наименование кулинарного изделия (блюда): </t>
    </r>
    <r>
      <rPr>
        <u/>
        <sz val="10"/>
        <color theme="1"/>
        <rFont val="Times New Roman"/>
        <family val="1"/>
        <charset val="204"/>
      </rPr>
      <t>Салат из сырых овощей</t>
    </r>
  </si>
  <si>
    <r>
      <t xml:space="preserve">Номер рецептуры: </t>
    </r>
    <r>
      <rPr>
        <u/>
        <sz val="10"/>
        <color theme="1"/>
        <rFont val="Times New Roman"/>
        <family val="1"/>
        <charset val="204"/>
      </rPr>
      <t>35</t>
    </r>
  </si>
  <si>
    <t>Помидоры свежие</t>
  </si>
  <si>
    <t>Лук зеленый</t>
  </si>
  <si>
    <t>или лук репчатый</t>
  </si>
  <si>
    <r>
      <t xml:space="preserve">Технология приготовления: </t>
    </r>
    <r>
      <rPr>
        <sz val="10"/>
        <color theme="1"/>
        <rFont val="Times New Roman"/>
        <family val="1"/>
        <charset val="204"/>
      </rPr>
      <t xml:space="preserve">Подготовленные помидоры и огурцы режут тонкими ломтиками, лук репчатый - кольцами, а зеленый лук шинкуют. Помидоры и огурцы укладывают вперемешку и посыпают луком. Перед отпуском салат поливают растительным маслом. </t>
    </r>
  </si>
  <si>
    <t>Морковь</t>
  </si>
  <si>
    <t>Капуста белокочанная, свежая</t>
  </si>
  <si>
    <r>
      <t xml:space="preserve">Технология приготовления: </t>
    </r>
    <r>
      <rPr>
        <sz val="10"/>
        <color theme="1"/>
        <rFont val="Times New Roman"/>
        <family val="1"/>
        <charset val="204"/>
      </rPr>
      <t>Подготовленную сырую морковь нарезают тонкой соломкой, свежие огурцы и помидоры - тонкими ломтиками, капусту шинкуют. Овощи перемешвают и заправляют растительным маслом.</t>
    </r>
  </si>
  <si>
    <t>Картофель</t>
  </si>
  <si>
    <t>Масса овощного набора</t>
  </si>
  <si>
    <t>Овощной набор</t>
  </si>
  <si>
    <r>
      <t xml:space="preserve">Наименование кулинарного изделия (блюда): </t>
    </r>
    <r>
      <rPr>
        <u/>
        <sz val="10"/>
        <color theme="1"/>
        <rFont val="Times New Roman"/>
        <family val="1"/>
        <charset val="204"/>
      </rPr>
      <t>Салат картофельный</t>
    </r>
  </si>
  <si>
    <t>САЛАТ КАРТОФЕЛЬНЫЙ</t>
  </si>
  <si>
    <r>
      <t xml:space="preserve">Технология приготовления: </t>
    </r>
    <r>
      <rPr>
        <sz val="10"/>
        <color theme="1"/>
        <rFont val="Times New Roman"/>
        <family val="1"/>
        <charset val="204"/>
      </rPr>
      <t>Очищенный вареный картофель нарезают мелкими ломтиками, смешивают с шинкованным зеленым луком или репчатым луком. Салат заправляют растительным маслом.</t>
    </r>
  </si>
  <si>
    <t>Технологическая карта  кулинарного изделия (блюда) № 13</t>
  </si>
  <si>
    <t>Технологическая карта  кулинарного изделия (блюда) № 14</t>
  </si>
  <si>
    <t>Технологическая карта  кулинарного изделия (блюда) № 15</t>
  </si>
  <si>
    <t>Технологическая карта  кулинарного изделия (блюда) № 16</t>
  </si>
  <si>
    <r>
      <t xml:space="preserve">Номер рецептуры: </t>
    </r>
    <r>
      <rPr>
        <u/>
        <sz val="10"/>
        <color theme="1"/>
        <rFont val="Times New Roman"/>
        <family val="1"/>
        <charset val="204"/>
      </rPr>
      <t>37</t>
    </r>
  </si>
  <si>
    <r>
      <t xml:space="preserve">Наименование кулинарного изделия (блюда): </t>
    </r>
    <r>
      <rPr>
        <u/>
        <sz val="10"/>
        <color theme="1"/>
        <rFont val="Times New Roman"/>
        <family val="1"/>
        <charset val="204"/>
      </rPr>
      <t>Салат картофельный с огурцами или капустой</t>
    </r>
  </si>
  <si>
    <t>Салат картофельный (овощной набор) № 35</t>
  </si>
  <si>
    <t>или капуста квашеная</t>
  </si>
  <si>
    <t xml:space="preserve">Морковь </t>
  </si>
  <si>
    <t>и капуста квашеная</t>
  </si>
  <si>
    <r>
      <t xml:space="preserve">Технология приготовления: </t>
    </r>
    <r>
      <rPr>
        <sz val="10"/>
        <color theme="1"/>
        <rFont val="Times New Roman"/>
        <family val="1"/>
        <charset val="204"/>
      </rPr>
      <t>Соленые огурцы, очищенные от кожицы, и вареную морковь нарезают ломтиками. В овощной набор картофельного салата добавляют нарезанные соленые огурцы и морковь, или капусту квашеную и морковь, или огурцы соленые и капусту квашеную и морковь. Салат заправляют растительным маслом.</t>
    </r>
  </si>
  <si>
    <r>
      <t xml:space="preserve">Номер рецептуры: </t>
    </r>
    <r>
      <rPr>
        <u/>
        <sz val="10"/>
        <color theme="1"/>
        <rFont val="Times New Roman"/>
        <family val="1"/>
        <charset val="204"/>
      </rPr>
      <t>39</t>
    </r>
  </si>
  <si>
    <r>
      <t xml:space="preserve">Наименование кулинарного изделия (блюда): </t>
    </r>
    <r>
      <rPr>
        <u/>
        <sz val="10"/>
        <color theme="1"/>
        <rFont val="Times New Roman"/>
        <family val="1"/>
        <charset val="204"/>
      </rPr>
      <t>Салат картофельный с кукурузой и морковью</t>
    </r>
  </si>
  <si>
    <r>
      <t>Технология приготовления:</t>
    </r>
    <r>
      <rPr>
        <sz val="10"/>
        <color theme="1"/>
        <rFont val="Times New Roman"/>
        <family val="1"/>
        <charset val="204"/>
      </rPr>
      <t xml:space="preserve"> Подготовленные помидоры нарезают тонкими ломтиками, лук шинкуют. Помидоры и лук раскладывают на порции, поливают растительным маслом. Салат можно отпускать без лука, соответственно уменьшив выход. При отпуске салата допускается добавлять вареные яйца - 1/2 - 1/4 шт. на порцию, соответственно уменьшив закладку помидоров.</t>
    </r>
  </si>
  <si>
    <t>Кукуруза сахарная консервированная</t>
  </si>
  <si>
    <r>
      <t xml:space="preserve">Технология приготовления: </t>
    </r>
    <r>
      <rPr>
        <sz val="10"/>
        <color theme="1"/>
        <rFont val="Times New Roman"/>
        <family val="1"/>
        <charset val="204"/>
      </rPr>
      <t>Картофель, морковь варят, очищают, нарезают кубиками, огурцы нарезают тонкими ломтиками, добавляют консервированную кукурузу, предварительно прокипяченную, заправляют растительным маслом. Салат укладывают горкой, оформляют огурцами, морковью.</t>
    </r>
  </si>
  <si>
    <r>
      <t xml:space="preserve">Номер рецептуры: </t>
    </r>
    <r>
      <rPr>
        <u/>
        <sz val="10"/>
        <color theme="1"/>
        <rFont val="Times New Roman"/>
        <family val="1"/>
        <charset val="204"/>
      </rPr>
      <t>40</t>
    </r>
  </si>
  <si>
    <r>
      <t xml:space="preserve">Наименование кулинарного изделия (блюда): </t>
    </r>
    <r>
      <rPr>
        <u/>
        <sz val="10"/>
        <color theme="1"/>
        <rFont val="Times New Roman"/>
        <family val="1"/>
        <charset val="204"/>
      </rPr>
      <t>Салат картофельный с морковью и зеленым горошком</t>
    </r>
  </si>
  <si>
    <t>Горошек зеленый консервированный</t>
  </si>
  <si>
    <t>Яйцо</t>
  </si>
  <si>
    <t>2 шт.</t>
  </si>
  <si>
    <r>
      <t xml:space="preserve">Технология приготовления: </t>
    </r>
    <r>
      <rPr>
        <sz val="10"/>
        <color theme="1"/>
        <rFont val="Times New Roman"/>
        <family val="1"/>
        <charset val="204"/>
      </rPr>
      <t>Картофель, морковь варят, очищают, нарезают кубиками, яйца наезают тонкими ломтиками, добавляют консервированный зеленый горошек, предварительно прокипяченный в собственном соку, заправляют растительным маслом. Салат укладывают горкой, оформляют яйцом, морковью.</t>
    </r>
  </si>
  <si>
    <t>Технологическая карта  кулинарного изделия (блюда) № 17</t>
  </si>
  <si>
    <t>Технологическая карта  кулинарного изделия (блюда) № 18</t>
  </si>
  <si>
    <t>Технологическая карта  кулинарного изделия (блюда) № 19</t>
  </si>
  <si>
    <t>Технологическая карта  кулинарного изделия (блюда) № 20</t>
  </si>
  <si>
    <r>
      <t xml:space="preserve">Номер рецептуры: </t>
    </r>
    <r>
      <rPr>
        <u/>
        <sz val="10"/>
        <color theme="1"/>
        <rFont val="Times New Roman"/>
        <family val="1"/>
        <charset val="204"/>
      </rPr>
      <t>42</t>
    </r>
  </si>
  <si>
    <r>
      <t xml:space="preserve">Технология приготовления: </t>
    </r>
    <r>
      <rPr>
        <sz val="10"/>
        <color theme="1"/>
        <rFont val="Times New Roman"/>
        <family val="1"/>
        <charset val="204"/>
      </rPr>
      <t>Картофель варят, очищают, нарезают тонкими ломтиками. Соленые огурцы очищают, нарезают тонкими ломтиками, репчатый лук шинкуют, добавляют конервированный зеленый горошек, предварительно прокипяченный в собственном соку, заправляют растительным маслом. салат укладывают горкой.</t>
    </r>
  </si>
  <si>
    <r>
      <t xml:space="preserve">Номер рецептуры: </t>
    </r>
    <r>
      <rPr>
        <u/>
        <sz val="10"/>
        <color theme="1"/>
        <rFont val="Times New Roman"/>
        <family val="1"/>
        <charset val="204"/>
      </rPr>
      <t>43</t>
    </r>
  </si>
  <si>
    <r>
      <t xml:space="preserve">Наименование кулинарного изделия (блюда): </t>
    </r>
    <r>
      <rPr>
        <u/>
        <sz val="10"/>
        <color theme="1"/>
        <rFont val="Times New Roman"/>
        <family val="1"/>
        <charset val="204"/>
      </rPr>
      <t>Салат из овощей</t>
    </r>
  </si>
  <si>
    <t>Капуста цветная</t>
  </si>
  <si>
    <t>или капуста белокачанная</t>
  </si>
  <si>
    <t>Яйца</t>
  </si>
  <si>
    <t>3  шт.</t>
  </si>
  <si>
    <r>
      <t xml:space="preserve">Технология приготовления: </t>
    </r>
    <r>
      <rPr>
        <sz val="10"/>
        <color theme="1"/>
        <rFont val="Times New Roman"/>
        <family val="1"/>
        <charset val="204"/>
      </rPr>
      <t>Цветную капусту отваривают, разбирают на мелке соцветия, белококанную капусту шинкуют и припускают. Помидоры и огурцы нарезают ломтиками, яйца мелко рубят и все перемешивают. При отпуске салат заправляют маслом растительным.</t>
    </r>
  </si>
  <si>
    <r>
      <t xml:space="preserve">Номер рецептуры: </t>
    </r>
    <r>
      <rPr>
        <u/>
        <sz val="10"/>
        <color theme="1"/>
        <rFont val="Times New Roman"/>
        <family val="1"/>
        <charset val="204"/>
      </rPr>
      <t>45</t>
    </r>
  </si>
  <si>
    <r>
      <t xml:space="preserve">Наименование кулинарного изделия (блюда): </t>
    </r>
    <r>
      <rPr>
        <u/>
        <sz val="10"/>
        <color theme="1"/>
        <rFont val="Times New Roman"/>
        <family val="1"/>
        <charset val="204"/>
      </rPr>
      <t>Салат из белокочанной капусты</t>
    </r>
  </si>
  <si>
    <t>Капуста белокочанная свежая</t>
  </si>
  <si>
    <t>Масса прогретой капусты</t>
  </si>
  <si>
    <t>или морковь</t>
  </si>
  <si>
    <t>Кислота лимонная</t>
  </si>
  <si>
    <t>Вода кипяченая</t>
  </si>
  <si>
    <t>Сахар</t>
  </si>
  <si>
    <r>
      <t xml:space="preserve">Технология приготовления: </t>
    </r>
    <r>
      <rPr>
        <sz val="10"/>
        <color theme="1"/>
        <rFont val="Times New Roman"/>
        <family val="1"/>
        <charset val="204"/>
      </rPr>
      <t>Лимонную кислоту растворят в воде. Капусту шинкуют, добавляют соль (15 г на 1 кг), раствор лимонный кислоты и нагревают при непрерывном помешивании. Не следует перегревать капусту, так как она будет мягкой. Прогрету3ю капусту охлаждают, смешивают с нашинкованным зеленым луком или морковью, нарезанной соломкой, добавляют сахар и растительное масло.</t>
    </r>
  </si>
  <si>
    <r>
      <t xml:space="preserve">Номер рецептуры: </t>
    </r>
    <r>
      <rPr>
        <u/>
        <sz val="10"/>
        <color theme="1"/>
        <rFont val="Times New Roman"/>
        <family val="1"/>
        <charset val="204"/>
      </rPr>
      <t>52</t>
    </r>
  </si>
  <si>
    <r>
      <t xml:space="preserve">Наименование кулинарного изделия (блюда): </t>
    </r>
    <r>
      <rPr>
        <u/>
        <sz val="10"/>
        <color theme="1"/>
        <rFont val="Times New Roman"/>
        <family val="1"/>
        <charset val="204"/>
      </rPr>
      <t>Салат из свеклы отварной</t>
    </r>
  </si>
  <si>
    <t>Свекла</t>
  </si>
  <si>
    <r>
      <t xml:space="preserve">Технология приготовления: </t>
    </r>
    <r>
      <rPr>
        <sz val="10"/>
        <color theme="1"/>
        <rFont val="Times New Roman"/>
        <family val="1"/>
        <charset val="204"/>
      </rPr>
      <t>Подготовленную свеклу отваривают, затем очищают и измельчают на овощерезке. При отпуске свеклу заправляют маслом растительным.</t>
    </r>
  </si>
  <si>
    <r>
      <t xml:space="preserve">Номер рецептуры: </t>
    </r>
    <r>
      <rPr>
        <u/>
        <sz val="10"/>
        <color theme="1"/>
        <rFont val="Times New Roman"/>
        <family val="1"/>
        <charset val="204"/>
      </rPr>
      <t>54</t>
    </r>
  </si>
  <si>
    <t>Яблоки свежие</t>
  </si>
  <si>
    <r>
      <t xml:space="preserve">Технология приготовления: </t>
    </r>
    <r>
      <rPr>
        <sz val="10"/>
        <color theme="1"/>
        <rFont val="Times New Roman"/>
        <family val="1"/>
        <charset val="204"/>
      </rPr>
      <t>Подгготовленную свеклу отваривают, затем очищают и измельчают на овощерезке. Добавляют нарезанные соломкой яблоки, очищенные с удаленным семенным гнездом, сахар. При отпуске салт заправляют маслом растительным.</t>
    </r>
  </si>
  <si>
    <t>Технологическая карта  кулинарного изделия (блюда) № 21</t>
  </si>
  <si>
    <t>Технологическая карта  кулинарного изделия (блюда) № 22</t>
  </si>
  <si>
    <t>Технологическая карта  кулинарного изделия (блюда) № 23</t>
  </si>
  <si>
    <t>Технологическая карта  кулинарного изделия (блюда) № 24</t>
  </si>
  <si>
    <t>Технологическая карта  кулинарного изделия (блюда) № 25</t>
  </si>
  <si>
    <r>
      <t xml:space="preserve">Номер рецептуры: </t>
    </r>
    <r>
      <rPr>
        <u/>
        <sz val="10"/>
        <color theme="1"/>
        <rFont val="Times New Roman"/>
        <family val="1"/>
        <charset val="204"/>
      </rPr>
      <t>55</t>
    </r>
  </si>
  <si>
    <r>
      <t xml:space="preserve">Технология приготовления: </t>
    </r>
    <r>
      <rPr>
        <sz val="10"/>
        <color theme="1"/>
        <rFont val="Times New Roman"/>
        <family val="1"/>
        <charset val="204"/>
      </rPr>
      <t>Подготовленную свеклу отваривают, затем очищают и измельчают на овощерезке. Добавляют соленые огурцы, нарезанные ломтиками, нарезанный соломкой лук и прогретый зеленый горошек. При отпуске салат заправляют маслом растительным.</t>
    </r>
  </si>
  <si>
    <r>
      <t xml:space="preserve">Номер рецептуры: </t>
    </r>
    <r>
      <rPr>
        <u/>
        <sz val="10"/>
        <color theme="1"/>
        <rFont val="Times New Roman"/>
        <family val="1"/>
        <charset val="204"/>
      </rPr>
      <t>56</t>
    </r>
  </si>
  <si>
    <r>
      <t xml:space="preserve">Наименование кулинарного изделия (блюда): </t>
    </r>
    <r>
      <rPr>
        <u/>
        <sz val="10"/>
        <color theme="1"/>
        <rFont val="Times New Roman"/>
        <family val="1"/>
        <charset val="204"/>
      </rPr>
      <t>Салат овощной с яблоками</t>
    </r>
  </si>
  <si>
    <t>Капуста белокочанная</t>
  </si>
  <si>
    <t>Яблоки</t>
  </si>
  <si>
    <t>Лимоны (для сока)</t>
  </si>
  <si>
    <r>
      <t>Технология приготовления:</t>
    </r>
    <r>
      <rPr>
        <sz val="10"/>
        <color theme="1"/>
        <rFont val="Times New Roman"/>
        <family val="1"/>
        <charset val="204"/>
      </rPr>
      <t xml:space="preserve"> Подготовенную свеклу отваривают, затем очищают и измельчают на овощерезке. Добавляют нарезанные соломкой морковь, капусту, яблоки очищенные, с удаленным семенным гнездом. При отпуске салат заправляют соком лимона.</t>
    </r>
  </si>
  <si>
    <r>
      <t xml:space="preserve">Номер рецептуры: </t>
    </r>
    <r>
      <rPr>
        <u/>
        <sz val="10"/>
        <color theme="1"/>
        <rFont val="Times New Roman"/>
        <family val="1"/>
        <charset val="204"/>
      </rPr>
      <t>62</t>
    </r>
  </si>
  <si>
    <t>или мед</t>
  </si>
  <si>
    <r>
      <t xml:space="preserve">Технология приготовления: </t>
    </r>
    <r>
      <rPr>
        <sz val="10"/>
        <color theme="1"/>
        <rFont val="Times New Roman"/>
        <family val="1"/>
        <charset val="204"/>
      </rPr>
      <t>Подготовленную сырую очищенную морковь нарезают соломкой, добавляют сахар или мед, выкладывают горкой.</t>
    </r>
  </si>
  <si>
    <r>
      <t xml:space="preserve">Номер рецептуры: </t>
    </r>
    <r>
      <rPr>
        <u/>
        <sz val="10"/>
        <color theme="1"/>
        <rFont val="Times New Roman"/>
        <family val="1"/>
        <charset val="204"/>
      </rPr>
      <t>63</t>
    </r>
  </si>
  <si>
    <r>
      <t xml:space="preserve">Наименование кулинарного изделия (блюда): </t>
    </r>
    <r>
      <rPr>
        <u/>
        <sz val="10"/>
        <color theme="1"/>
        <rFont val="Times New Roman"/>
        <family val="1"/>
        <charset val="204"/>
      </rPr>
      <t>Салат из моркови с курагой</t>
    </r>
  </si>
  <si>
    <t>Курага</t>
  </si>
  <si>
    <t>934/860</t>
  </si>
  <si>
    <t>93,4/86</t>
  </si>
  <si>
    <r>
      <t xml:space="preserve">Технология приготовления: </t>
    </r>
    <r>
      <rPr>
        <sz val="10"/>
        <color theme="1"/>
        <rFont val="Times New Roman"/>
        <family val="1"/>
        <charset val="204"/>
      </rPr>
      <t>Сырую очищенную морковь нарезают тонкими ломтиками и припускают в небольшом количестве воды. Курагу тщательно промывают, заливают кипящей водой и дают набухнуть. Подготовленную курагу нарезают ломтиками, затем смешивают с морковью и сахаром.</t>
    </r>
  </si>
  <si>
    <r>
      <t xml:space="preserve">Номер рецептуры: </t>
    </r>
    <r>
      <rPr>
        <u/>
        <sz val="10"/>
        <color theme="1"/>
        <rFont val="Times New Roman"/>
        <family val="1"/>
        <charset val="204"/>
      </rPr>
      <t>66</t>
    </r>
  </si>
  <si>
    <r>
      <t xml:space="preserve">Наименование кулинарного изделия (блюда): </t>
    </r>
    <r>
      <rPr>
        <u/>
        <sz val="10"/>
        <color theme="1"/>
        <rFont val="Times New Roman"/>
        <family val="1"/>
        <charset val="204"/>
      </rPr>
      <t>Салат из моркови с изюмом</t>
    </r>
  </si>
  <si>
    <t>Изюм</t>
  </si>
  <si>
    <t>Лимон (для сока)</t>
  </si>
  <si>
    <r>
      <t xml:space="preserve">Технология приготовления: </t>
    </r>
    <r>
      <rPr>
        <sz val="10"/>
        <color theme="1"/>
        <rFont val="Times New Roman"/>
        <family val="1"/>
        <charset val="204"/>
      </rPr>
      <t>Сырую очищенную морковь нарезать соломкой. Изюм перебирают, заливают кипящей водой и дают набухнуть, смешивают с морковью. При отпуске заправляют лимонным соком и сахаром.</t>
    </r>
  </si>
  <si>
    <t>Технологическая карта  кулинарного изделия (блюда) № 26</t>
  </si>
  <si>
    <t>Технологическая карта  кулинарного изделия (блюда) № 27</t>
  </si>
  <si>
    <t>Технологическая карта  кулинарного изделия (блюда) № 28</t>
  </si>
  <si>
    <t>Технологическая карта  кулинарного изделия (блюда) № 29</t>
  </si>
  <si>
    <t>Технологическая карта  кулинарного изделия (блюда) № 30</t>
  </si>
  <si>
    <r>
      <t xml:space="preserve">Номер рецептуры: </t>
    </r>
    <r>
      <rPr>
        <u/>
        <sz val="10"/>
        <color theme="1"/>
        <rFont val="Times New Roman"/>
        <family val="1"/>
        <charset val="204"/>
      </rPr>
      <t>67</t>
    </r>
  </si>
  <si>
    <r>
      <t xml:space="preserve">Номер рецептуры: </t>
    </r>
    <r>
      <rPr>
        <u/>
        <sz val="10"/>
        <color theme="1"/>
        <rFont val="Times New Roman"/>
        <family val="1"/>
        <charset val="204"/>
      </rPr>
      <t>70</t>
    </r>
  </si>
  <si>
    <r>
      <t xml:space="preserve">Наименование кулинарного изделия (блюда): </t>
    </r>
    <r>
      <rPr>
        <u/>
        <sz val="10"/>
        <color theme="1"/>
        <rFont val="Times New Roman"/>
        <family val="1"/>
        <charset val="204"/>
      </rPr>
      <t>Овощи натуральные соленые</t>
    </r>
  </si>
  <si>
    <r>
      <t xml:space="preserve">Номер рецептуры: </t>
    </r>
    <r>
      <rPr>
        <u/>
        <sz val="10"/>
        <color theme="1"/>
        <rFont val="Times New Roman"/>
        <family val="1"/>
        <charset val="204"/>
      </rPr>
      <t>71</t>
    </r>
  </si>
  <si>
    <r>
      <t xml:space="preserve">Наименование кулинарного изделия (блюда): </t>
    </r>
    <r>
      <rPr>
        <u/>
        <sz val="10"/>
        <color theme="1"/>
        <rFont val="Times New Roman"/>
        <family val="1"/>
        <charset val="204"/>
      </rPr>
      <t>Овощи натуральные свежие</t>
    </r>
  </si>
  <si>
    <r>
      <t xml:space="preserve">Номер рецептуры: </t>
    </r>
    <r>
      <rPr>
        <u/>
        <sz val="10"/>
        <color theme="1"/>
        <rFont val="Times New Roman"/>
        <family val="1"/>
        <charset val="204"/>
      </rPr>
      <t>73</t>
    </r>
  </si>
  <si>
    <r>
      <t xml:space="preserve">Наименование кулинарного изделия (блюда): </t>
    </r>
    <r>
      <rPr>
        <u/>
        <sz val="10"/>
        <color theme="1"/>
        <rFont val="Times New Roman"/>
        <family val="1"/>
        <charset val="204"/>
      </rPr>
      <t>Икра кабачковая</t>
    </r>
  </si>
  <si>
    <r>
      <t xml:space="preserve">Номер рецептуры: </t>
    </r>
    <r>
      <rPr>
        <u/>
        <sz val="10"/>
        <color theme="1"/>
        <rFont val="Times New Roman"/>
        <family val="1"/>
        <charset val="204"/>
      </rPr>
      <t>209</t>
    </r>
  </si>
  <si>
    <t>Капуста квашеная</t>
  </si>
  <si>
    <r>
      <t xml:space="preserve">Технология приготовления: </t>
    </r>
    <r>
      <rPr>
        <sz val="10"/>
        <color theme="1"/>
        <rFont val="Times New Roman"/>
        <family val="1"/>
        <charset val="204"/>
      </rPr>
      <t>Вареные, очищенные картофель, свеклу, морковь, соленые огурцы нарезают ломтиками, капусту квашеную перебирают, отжимают и шинкуют. Зеленый или репчатый лук мелко нарезают. Нарезанную свеклу заправляют частью растительного масла, предусмотренного по рецепту, затем все овощи соединяют, заправляют оставшейся частью растительного масла и перемешивают. в винегрет можно добавить от 50 до 100 г зеленого горошка за счет соответственного уменьшения солленых огурцов или квашеной капусты. Зеленый горошек перед испоьзованиемпрогревают в собственном соку.</t>
    </r>
  </si>
  <si>
    <t>Помидоры соленые</t>
  </si>
  <si>
    <t>или огурцы соленые</t>
  </si>
  <si>
    <r>
      <t>Технология приготовления:</t>
    </r>
    <r>
      <rPr>
        <sz val="10"/>
        <color theme="1"/>
        <rFont val="Times New Roman"/>
        <family val="1"/>
        <charset val="204"/>
      </rPr>
      <t xml:space="preserve"> Огурцы и помидоры промывают и удаляют место прикрепления плодоножки.</t>
    </r>
  </si>
  <si>
    <t>или огурцы свежие</t>
  </si>
  <si>
    <t>Химический состав, витамины и микроэлементы на 1 порцию (Помидор)</t>
  </si>
  <si>
    <t>Химический состав, витамины и микроэлементы на 1 порцию (Огурец)</t>
  </si>
  <si>
    <r>
      <t xml:space="preserve">Технология приготовления: </t>
    </r>
    <r>
      <rPr>
        <sz val="10"/>
        <color theme="1"/>
        <rFont val="Times New Roman"/>
        <family val="1"/>
        <charset val="204"/>
      </rPr>
      <t>Огурцы и помидоры перебирают, промывают небольшими партиями в подсоленной или подкисленной воде. У огурцов отрезают стебель с частью мякоти, затем нарезают кружочками или дольками непосредственно перед отпуском. У помидоров вырезают место прикрепления плодоножки. Используют в целом виде.</t>
    </r>
  </si>
  <si>
    <t>Кабачки</t>
  </si>
  <si>
    <t>Капуста свежая</t>
  </si>
  <si>
    <t>Томатное пюре</t>
  </si>
  <si>
    <t>1074/698</t>
  </si>
  <si>
    <t>107,4/69,8</t>
  </si>
  <si>
    <r>
      <t xml:space="preserve">Технология приготовления: </t>
    </r>
    <r>
      <rPr>
        <sz val="10"/>
        <color theme="1"/>
        <rFont val="Times New Roman"/>
        <family val="1"/>
        <charset val="204"/>
      </rPr>
      <t>Очищенные от кожицы кабачки, нарезанные кружочками, запекают в жарочном шкафу и измельчают. Шинкованную белокочанную капусту тушат до полуготовности, добавляют пассерованный с томатом репчатый лук и тушат до готовности капусты. В конце тушения добавляют кабачки, заправляют солью. Отпускают по 50 - 100 г на порцию, уложив на тарелку горкой.</t>
    </r>
  </si>
  <si>
    <t>1 шт</t>
  </si>
  <si>
    <t>1 шт.</t>
  </si>
  <si>
    <t>100 шт.</t>
  </si>
  <si>
    <r>
      <t xml:space="preserve">Технология приготовления: </t>
    </r>
    <r>
      <rPr>
        <sz val="10"/>
        <color theme="1"/>
        <rFont val="Times New Roman"/>
        <family val="1"/>
        <charset val="204"/>
      </rPr>
      <t>Яйца погружают в кипящую подсоленную воду (3 л воды и 40 - 50 г соли на 10 яиц) и варят вкрутую 8 - 10 мин с момента закипания. Для облегченя очистки от скорлупы яйца сразу же послеварки погружают в холодную воду.</t>
    </r>
  </si>
  <si>
    <t>Технологическая карта  кулинарного изделия (блюда) № 31</t>
  </si>
  <si>
    <t>Технологическая карта  кулинарного изделия (блюда) № 32</t>
  </si>
  <si>
    <t>Технологическая карта  кулинарного изделия (блюда) № 33</t>
  </si>
  <si>
    <t>Технологическая карта  кулинарного изделия (блюда) № 34</t>
  </si>
  <si>
    <t>Технологическая карта  кулинарного изделия (блюда) № 35</t>
  </si>
  <si>
    <r>
      <t xml:space="preserve">Номер рецептуры: </t>
    </r>
    <r>
      <rPr>
        <u/>
        <sz val="10"/>
        <color theme="1"/>
        <rFont val="Times New Roman"/>
        <family val="1"/>
        <charset val="204"/>
      </rPr>
      <t>306</t>
    </r>
  </si>
  <si>
    <t>или кукуруза сахарная консервированная</t>
  </si>
  <si>
    <t>Химический состав, витамины и микроэлементы на 1 порцию (Горох)</t>
  </si>
  <si>
    <t>Химический состав, витамины и микроэлементы на 1 порцию (Кукуруза)</t>
  </si>
  <si>
    <r>
      <t xml:space="preserve">Технология приготовления: </t>
    </r>
    <r>
      <rPr>
        <sz val="10"/>
        <color theme="1"/>
        <rFont val="Times New Roman"/>
        <family val="1"/>
        <charset val="204"/>
      </rPr>
      <t>Отварные бобовые используют для приготовления бюд и гарниров.</t>
    </r>
  </si>
  <si>
    <r>
      <t xml:space="preserve">Номер рецептуры: </t>
    </r>
    <r>
      <rPr>
        <u/>
        <sz val="10"/>
        <color theme="1"/>
        <rFont val="Times New Roman"/>
        <family val="1"/>
        <charset val="204"/>
      </rPr>
      <t>338</t>
    </r>
  </si>
  <si>
    <r>
      <t xml:space="preserve">Наименование кулинарного изделия (блюда): </t>
    </r>
    <r>
      <rPr>
        <u/>
        <sz val="10"/>
        <color theme="1"/>
        <rFont val="Times New Roman"/>
        <family val="1"/>
        <charset val="204"/>
      </rPr>
      <t>Плоды или ягоды свежие</t>
    </r>
  </si>
  <si>
    <t>или груши</t>
  </si>
  <si>
    <t>или бананы</t>
  </si>
  <si>
    <t>Химический состав, витамины и микроэлементы на 1 порцию (Яблоко)</t>
  </si>
  <si>
    <t>Химический состав, витамины и микроэлементы на 1 порцию (Груша)</t>
  </si>
  <si>
    <t>Химический состав, витамины и микроэлементы на 1 порцию (Бананы)</t>
  </si>
  <si>
    <r>
      <t xml:space="preserve">Технология приготовления: </t>
    </r>
    <r>
      <rPr>
        <sz val="10"/>
        <color theme="1"/>
        <rFont val="Times New Roman"/>
        <family val="1"/>
        <charset val="204"/>
      </rPr>
      <t>Подготовленные плоды или ягоды подают на десертной тарелке или вазочке.</t>
    </r>
  </si>
  <si>
    <r>
      <t xml:space="preserve">Номер рецептуры: </t>
    </r>
    <r>
      <rPr>
        <u/>
        <sz val="10"/>
        <color theme="1"/>
        <rFont val="Times New Roman"/>
        <family val="1"/>
        <charset val="204"/>
      </rPr>
      <t>341</t>
    </r>
  </si>
  <si>
    <r>
      <t xml:space="preserve">Наименование кулинарного изделия (блюда): </t>
    </r>
    <r>
      <rPr>
        <u/>
        <sz val="10"/>
        <color theme="1"/>
        <rFont val="Times New Roman"/>
        <family val="1"/>
        <charset val="204"/>
      </rPr>
      <t>Апельсины, мандарны, ананасы с сахаром</t>
    </r>
  </si>
  <si>
    <t>Апельсины</t>
  </si>
  <si>
    <t>или мандарины</t>
  </si>
  <si>
    <t>Химический состав, витамины и микроэлементы на 1 порцию (Апельсин)</t>
  </si>
  <si>
    <t>Химический состав, витамины и микроэлементы на 1 порцию (Мандарин)</t>
  </si>
  <si>
    <r>
      <t xml:space="preserve">Технология приготовления: </t>
    </r>
    <r>
      <rPr>
        <sz val="10"/>
        <color theme="1"/>
        <rFont val="Times New Roman"/>
        <family val="1"/>
        <charset val="204"/>
      </rPr>
      <t>Подготовленные апельсины или мандарины подают на десертной тарелке или вазочке.</t>
    </r>
  </si>
  <si>
    <t>Технологическая карта  кулинарногоизделия (блюда) № 36</t>
  </si>
  <si>
    <t>Технологическая карта  кулинарного изделия (блюда) № 37</t>
  </si>
  <si>
    <t>Технологическая карта  кулинарного изделия (блюда) № 39</t>
  </si>
  <si>
    <t>Технологическая карта  кулинарного изделия (блюда) № 40</t>
  </si>
  <si>
    <r>
      <t xml:space="preserve">Наименование кулинарного изделия (блюда): </t>
    </r>
    <r>
      <rPr>
        <u/>
        <sz val="10"/>
        <color theme="1"/>
        <rFont val="Times New Roman"/>
        <family val="1"/>
        <charset val="204"/>
      </rPr>
      <t>Рыба, тушеная в томате с овощами</t>
    </r>
  </si>
  <si>
    <t>РЫБА, ТУШЕННАЯ В ТОМАТЕ С ОВОЩАМИ</t>
  </si>
  <si>
    <r>
      <t xml:space="preserve">Номер рецептуры: </t>
    </r>
    <r>
      <rPr>
        <u/>
        <sz val="10"/>
        <color theme="1"/>
        <rFont val="Times New Roman"/>
        <family val="1"/>
        <charset val="204"/>
      </rPr>
      <t>229</t>
    </r>
  </si>
  <si>
    <t>Минтай</t>
  </si>
  <si>
    <t>Вода или бульон</t>
  </si>
  <si>
    <t>Петрушка (корень)</t>
  </si>
  <si>
    <t>Раствор лимонной кислоты</t>
  </si>
  <si>
    <t>Гвоздика</t>
  </si>
  <si>
    <t>Корица</t>
  </si>
  <si>
    <t xml:space="preserve">Лавровый лист </t>
  </si>
  <si>
    <t>Масса тушеной рыбы</t>
  </si>
  <si>
    <t>Масса готовой рыбы с тушеными овощами и соусом</t>
  </si>
  <si>
    <r>
      <t xml:space="preserve">Технология приготовления: </t>
    </r>
    <r>
      <rPr>
        <sz val="10"/>
        <color theme="1"/>
        <rFont val="Times New Roman"/>
        <family val="1"/>
        <charset val="204"/>
      </rPr>
      <t>Порционные куски рыбы, нарезанные из филе с кожей без костей, укладывают в посуду в два слоя, чередуя со слоями нашинкованных овощей, заливают бульоном или водой, добавляют масло растительное, томатное пюре, раствор лимонной кислоты, сахар, соль, посуду закрывают крышкой и тушат до готовности (45 - 60 мин); за 5 - 7 мин до окончания тушения добавляют специи. При отпуске рыбу поливают соусом с овощами в котором она тушилась. Гарниры - картофель отварной, пюре картофельное.</t>
    </r>
  </si>
  <si>
    <r>
      <t xml:space="preserve">Номер рецептуры: </t>
    </r>
    <r>
      <rPr>
        <u/>
        <sz val="10"/>
        <color theme="1"/>
        <rFont val="Times New Roman"/>
        <family val="1"/>
        <charset val="204"/>
      </rPr>
      <t>231</t>
    </r>
  </si>
  <si>
    <r>
      <t xml:space="preserve">Наименование кулинарногоизделия (блюда): </t>
    </r>
    <r>
      <rPr>
        <u/>
        <sz val="10"/>
        <color theme="1"/>
        <rFont val="Times New Roman"/>
        <family val="1"/>
        <charset val="204"/>
      </rPr>
      <t>Поджарка из рыбы</t>
    </r>
  </si>
  <si>
    <t>Ледяная рыба</t>
  </si>
  <si>
    <t>Мука пшеничная</t>
  </si>
  <si>
    <t>Масса рыбы жареной</t>
  </si>
  <si>
    <r>
      <t xml:space="preserve">Технология приготовления: </t>
    </r>
    <r>
      <rPr>
        <sz val="10"/>
        <color theme="1"/>
        <rFont val="Times New Roman"/>
        <family val="1"/>
        <charset val="204"/>
      </rPr>
      <t>Филе без кожи и костей нарезают по 3 - 5 кусочков на порцию , посыпают солью, панируют в муке и жарят вместе с мелко нарезанным луком. При отпуске жареные кусочки рыбы с луком гарнируют. Гарниры - картофель жареный, овощи отварные с маслом.</t>
    </r>
  </si>
  <si>
    <t>Хлеб пшеничный</t>
  </si>
  <si>
    <t>Молоко или вода</t>
  </si>
  <si>
    <t>Сухари</t>
  </si>
  <si>
    <t>Масса полуфабриката</t>
  </si>
  <si>
    <t>Масса жареных изделий</t>
  </si>
  <si>
    <r>
      <t xml:space="preserve">Технология приготовления: </t>
    </r>
    <r>
      <rPr>
        <sz val="10"/>
        <color theme="1"/>
        <rFont val="Times New Roman"/>
        <family val="1"/>
        <charset val="204"/>
      </rPr>
      <t xml:space="preserve">Филе рыбы без кожи и костейнарезают на куски, пропускают через мясорубку, вместе с замоченным в воде или молоке хлебом, добавляют соль тщательно перемешивают и выбивают. Из полученной рыбной котлетной массы формуют котлеты или биточки, панируют в сухарях, обжаривают с обеих сторон на противне или сковороде в течение 8 - 10 мин, и доводят до готовности в жарочном шкафу 5 мин. При отпуске котлеы или биточка гарнируют, подливают сбоку соус или поливают сливочным маслом. Гарниры - картофель отварной, пюре картофельное, овощи отварные с маслом, овощи, припущенные с маслом. Соусы - сметанный, сметанный с луком.
</t>
    </r>
  </si>
  <si>
    <t>Технологическая карта  кулинарного изделия (блюда) № 38</t>
  </si>
  <si>
    <r>
      <t xml:space="preserve">Номер рецептуры: </t>
    </r>
    <r>
      <rPr>
        <u/>
        <sz val="10"/>
        <color theme="1"/>
        <rFont val="Times New Roman"/>
        <family val="1"/>
        <charset val="204"/>
      </rPr>
      <t>243</t>
    </r>
  </si>
  <si>
    <r>
      <t xml:space="preserve">Номер рецептуры: </t>
    </r>
    <r>
      <rPr>
        <u/>
        <sz val="10"/>
        <color theme="1"/>
        <rFont val="Times New Roman"/>
        <family val="1"/>
        <charset val="204"/>
      </rPr>
      <t>246</t>
    </r>
  </si>
  <si>
    <r>
      <t xml:space="preserve">Наименование кулинарного изделия (блюда): </t>
    </r>
    <r>
      <rPr>
        <u/>
        <sz val="10"/>
        <color theme="1"/>
        <rFont val="Times New Roman"/>
        <family val="1"/>
        <charset val="204"/>
      </rPr>
      <t>Сосиски, сардельки отварные</t>
    </r>
  </si>
  <si>
    <t>Сосиски или сардельки</t>
  </si>
  <si>
    <r>
      <t xml:space="preserve">Технология приготовления: </t>
    </r>
    <r>
      <rPr>
        <sz val="10"/>
        <color theme="1"/>
        <rFont val="Times New Roman"/>
        <family val="1"/>
        <charset val="204"/>
      </rPr>
      <t>Сосиски или сардельки (искуственную оболочку предварительно снимают) кладут в подсоленную кипящую воду, доводят до кипения и варят при слабом кипении: сосиски 3 - 5 мин, сардельки  - 7 - 10 мин. Во избежание повреждения натуральной оболчки и ухудшения вкуса сосиски и сардельки не следует хранить в горячей воде. При отпуске сосиски или сардельки гарнруют и поливают маслом. Гарниры - каширассыпчатые, каши вязкие, картофель отварной, картофельное пюре, овощи отварные с маслом, капуста тушеная.</t>
    </r>
  </si>
  <si>
    <r>
      <t xml:space="preserve">Наименование кулинарного изделия (блюда): </t>
    </r>
    <r>
      <rPr>
        <u/>
        <sz val="10"/>
        <color theme="1"/>
        <rFont val="Times New Roman"/>
        <family val="1"/>
        <charset val="204"/>
      </rPr>
      <t>Гуляш из отварной говядины</t>
    </r>
  </si>
  <si>
    <t>Говядина</t>
  </si>
  <si>
    <t>Масса отварного мяса</t>
  </si>
  <si>
    <t>Масса соуса</t>
  </si>
  <si>
    <r>
      <t xml:space="preserve">Технология приготовления: </t>
    </r>
    <r>
      <rPr>
        <sz val="10"/>
        <color theme="1"/>
        <rFont val="Times New Roman"/>
        <family val="1"/>
        <charset val="204"/>
      </rPr>
      <t>Лук шинкуют, вместе с нарезанной морковью слегка пассеруют или припускают. Затем их смешивают с вареным мясом, нарезанным кубиками, и помидорами, нарезанными дольками. Мясо с овощами заливают кипящей водой, варят на слабом огне 15 - 20 мин, после чего бульон сливают и готовят на нем соус, которым заливают мясо и доводят до кипения. Отпускают гуяш с соусом и гарниром. Гарниры - каши рассыпчатые, каши вязкие, картофель отварной.</t>
    </r>
  </si>
  <si>
    <t>Технологическая карта  кулинарного изделия (блюда) № 41</t>
  </si>
  <si>
    <t>Технологическая карта  кулинарного изделия (блюда) № 42</t>
  </si>
  <si>
    <t>Технологическая карта  кулинарного изделия (блюда) № 43</t>
  </si>
  <si>
    <r>
      <t xml:space="preserve">Номер рецептуры: </t>
    </r>
    <r>
      <rPr>
        <u/>
        <sz val="10"/>
        <color theme="1"/>
        <rFont val="Times New Roman"/>
        <family val="1"/>
        <charset val="204"/>
      </rPr>
      <t>250</t>
    </r>
  </si>
  <si>
    <r>
      <t xml:space="preserve">Номер рецептуры: </t>
    </r>
    <r>
      <rPr>
        <u/>
        <sz val="10"/>
        <color theme="1"/>
        <rFont val="Times New Roman"/>
        <family val="1"/>
        <charset val="204"/>
      </rPr>
      <t>255</t>
    </r>
  </si>
  <si>
    <r>
      <t xml:space="preserve">Номер рецептуры: </t>
    </r>
    <r>
      <rPr>
        <u/>
        <sz val="10"/>
        <color theme="1"/>
        <rFont val="Times New Roman"/>
        <family val="1"/>
        <charset val="204"/>
      </rPr>
      <t>259</t>
    </r>
  </si>
  <si>
    <r>
      <t xml:space="preserve">Номер рецептуры: </t>
    </r>
    <r>
      <rPr>
        <u/>
        <sz val="10"/>
        <color theme="1"/>
        <rFont val="Times New Roman"/>
        <family val="1"/>
        <charset val="204"/>
      </rPr>
      <t>260</t>
    </r>
  </si>
  <si>
    <r>
      <t xml:space="preserve">Номер рецептуры: </t>
    </r>
    <r>
      <rPr>
        <u/>
        <sz val="10"/>
        <color theme="1"/>
        <rFont val="Times New Roman"/>
        <family val="1"/>
        <charset val="204"/>
      </rPr>
      <t>261</t>
    </r>
  </si>
  <si>
    <r>
      <t xml:space="preserve">Наименование кулинарного изделия (блюда): </t>
    </r>
    <r>
      <rPr>
        <u/>
        <sz val="10"/>
        <color theme="1"/>
        <rFont val="Times New Roman"/>
        <family val="1"/>
        <charset val="204"/>
      </rPr>
      <t>Бефстроганов</t>
    </r>
  </si>
  <si>
    <t>Масса лука пассерованного</t>
  </si>
  <si>
    <t>Сметана</t>
  </si>
  <si>
    <t>Масса жареного мяса</t>
  </si>
  <si>
    <t>Масса соуса и пассерованного лука</t>
  </si>
  <si>
    <r>
      <t xml:space="preserve">Наименование кулинарного изделия (блюда): </t>
    </r>
    <r>
      <rPr>
        <u/>
        <sz val="10"/>
        <color theme="1"/>
        <rFont val="Times New Roman"/>
        <family val="1"/>
        <charset val="204"/>
      </rPr>
      <t>Печень по-строгановски</t>
    </r>
  </si>
  <si>
    <t>Печень говяжья</t>
  </si>
  <si>
    <t>Масса готовой печени</t>
  </si>
  <si>
    <r>
      <t xml:space="preserve">Технология приготовления: </t>
    </r>
    <r>
      <rPr>
        <sz val="10"/>
        <color theme="1"/>
        <rFont val="Times New Roman"/>
        <family val="1"/>
        <charset val="204"/>
      </rPr>
      <t>Подготовленную печень нарезают брусками длиной 3 - 4 см массой 5 - 7 г, посыпают солью, кладут ровным слое на разогретую сковороду с маслом и обжаривают при помешивании 3 - 4 мин. Затем заливают соусом сметанным с луком и доводят до кипения. Отпускают вместе с соусом, гарнир распологают с боку. Гарниры - макаронные изделия отварные, картофель отварной, картофельное пюре, картофель жареный, овощи отварные с маслом.</t>
    </r>
  </si>
  <si>
    <r>
      <t xml:space="preserve">Наименование кулинарного изделия (блюда): </t>
    </r>
    <r>
      <rPr>
        <u/>
        <sz val="10"/>
        <color theme="1"/>
        <rFont val="Times New Roman"/>
        <family val="1"/>
        <charset val="204"/>
      </rPr>
      <t>Жаркое по-домашнему</t>
    </r>
  </si>
  <si>
    <t>Масса тушеного мяса</t>
  </si>
  <si>
    <t>Масса готовых овощей</t>
  </si>
  <si>
    <r>
      <t xml:space="preserve">Технология приготовления: </t>
    </r>
    <r>
      <rPr>
        <sz val="10"/>
        <color theme="1"/>
        <rFont val="Times New Roman"/>
        <family val="1"/>
        <charset val="204"/>
      </rPr>
      <t>Мясо нарезают по два куска на порцию, картофель и лук - дольками. Мясо и овощи обжаривают по отдельности. Обжаренное мясо и овощи кладут в посуду слоями, чтобы сверху и снзумяса были овощи, добовляют томатное пюре, соль и бульон закрывают крышкой и тушат до готовности. За 5 - 10 мин до окончания тушения кладут лавровый лист. Отпускают жаркое вместе с бульоном и гарниром. Блюдо можно готовить без томатного пюре.</t>
    </r>
  </si>
  <si>
    <r>
      <t xml:space="preserve">Наименование кулинарного изделия (блюда): </t>
    </r>
    <r>
      <rPr>
        <u/>
        <sz val="10"/>
        <color theme="1"/>
        <rFont val="Times New Roman"/>
        <family val="1"/>
        <charset val="204"/>
      </rPr>
      <t>Гуляш</t>
    </r>
  </si>
  <si>
    <r>
      <t xml:space="preserve">Наименование кулинарного изделия (блюда): </t>
    </r>
    <r>
      <rPr>
        <u/>
        <sz val="10"/>
        <color theme="1"/>
        <rFont val="Times New Roman"/>
        <family val="1"/>
        <charset val="204"/>
      </rPr>
      <t>Печень, тушеная в соусе</t>
    </r>
  </si>
  <si>
    <t>Масса жареной печени</t>
  </si>
  <si>
    <t>Соусы № 330, №332, № 333</t>
  </si>
  <si>
    <r>
      <t xml:space="preserve">Технология приготовления: </t>
    </r>
    <r>
      <rPr>
        <sz val="10"/>
        <color theme="1"/>
        <rFont val="Times New Roman"/>
        <family val="1"/>
        <charset val="204"/>
      </rPr>
      <t>Печень нарезают на порцинальные куски, посыпают солью, панируют в муке и обжаревают с обеих сторон до полуготовности (5 - 10 мин). Затем печень заливают соусом и тушат в течение 15 - 20 мин. Подают с гарниром и соусом. Гарниры - кашы рассыпчатые, картофель отварной, картофельное пюре, картофель жареный, овощи отварные с маслом. Соусы - сметанный, сметанный с луком, сметанный с томатом и луком.</t>
    </r>
  </si>
  <si>
    <r>
      <t xml:space="preserve">Технология приготовления: </t>
    </r>
    <r>
      <rPr>
        <sz val="10"/>
        <color theme="1"/>
        <rFont val="Times New Roman"/>
        <family val="1"/>
        <charset val="204"/>
      </rPr>
      <t xml:space="preserve">Нарезают кубиками по 20 - 30 г и обжаренное мясо заливют водой (50 г на порцию) и тушат с добавлением пассерованного томатного пюре в закрытой посуде около часа. На бульоне, оставшемся после тушения, готовят соус, добавляя в него слегка пассерованный или припущенный лук, соль, заливают им мясо и тушат еще 25 - 30 мин. За 5 - 10 мин до окончания тушения кладут лавровый лист. Гуляш можно готовить со смтаной (15 - 20 г на порцию). Гарниры - кашы рассыпчатые, рис отварной, макаронные изделия отварные, картофельное пюре, картофель жареный, овощи припущенные с маслом, капуста тушеная. </t>
    </r>
  </si>
  <si>
    <t>Технологическая карта  кулинарного изделия (блюда) № 44</t>
  </si>
  <si>
    <t>Технологическая карта  кулинарного изделия (блюда) № 45</t>
  </si>
  <si>
    <t>Технологическая карта  кулинарного изделия (блюда) № 46</t>
  </si>
  <si>
    <t>Технологическая карта  кулинарного изделия (блюда) № 47</t>
  </si>
  <si>
    <t>Технологическая карта  кулинарного изделия (блюда) № 48</t>
  </si>
  <si>
    <r>
      <t xml:space="preserve">Номер рецептуры: </t>
    </r>
    <r>
      <rPr>
        <u/>
        <sz val="10"/>
        <color theme="1"/>
        <rFont val="Times New Roman"/>
        <family val="1"/>
        <charset val="204"/>
      </rPr>
      <t>265</t>
    </r>
  </si>
  <si>
    <r>
      <t xml:space="preserve">Наименование кулинарного изделия (блюда): </t>
    </r>
    <r>
      <rPr>
        <u/>
        <sz val="10"/>
        <color theme="1"/>
        <rFont val="Times New Roman"/>
        <family val="1"/>
        <charset val="204"/>
      </rPr>
      <t>Плов</t>
    </r>
  </si>
  <si>
    <r>
      <t xml:space="preserve">Номер рецептуры: </t>
    </r>
    <r>
      <rPr>
        <u/>
        <sz val="10"/>
        <color theme="1"/>
        <rFont val="Times New Roman"/>
        <family val="1"/>
        <charset val="204"/>
      </rPr>
      <t>266</t>
    </r>
  </si>
  <si>
    <r>
      <t xml:space="preserve">Наименование кулинарного изделия (блюда): </t>
    </r>
    <r>
      <rPr>
        <u/>
        <sz val="10"/>
        <color theme="1"/>
        <rFont val="Times New Roman"/>
        <family val="1"/>
        <charset val="204"/>
      </rPr>
      <t>Бифштекс рубленый</t>
    </r>
  </si>
  <si>
    <r>
      <t xml:space="preserve">Номер рецептуры: </t>
    </r>
    <r>
      <rPr>
        <u/>
        <sz val="10"/>
        <color theme="1"/>
        <rFont val="Times New Roman"/>
        <family val="1"/>
        <charset val="204"/>
      </rPr>
      <t>268</t>
    </r>
  </si>
  <si>
    <r>
      <t xml:space="preserve">Наименование кулинарного изделия (блюда): </t>
    </r>
    <r>
      <rPr>
        <u/>
        <sz val="10"/>
        <color theme="1"/>
        <rFont val="Times New Roman"/>
        <family val="1"/>
        <charset val="204"/>
      </rPr>
      <t>Котлеты, биточки, шницели</t>
    </r>
  </si>
  <si>
    <r>
      <t xml:space="preserve">Номер рецептуры: </t>
    </r>
    <r>
      <rPr>
        <u/>
        <sz val="10"/>
        <color theme="1"/>
        <rFont val="Times New Roman"/>
        <family val="1"/>
        <charset val="204"/>
      </rPr>
      <t>269</t>
    </r>
  </si>
  <si>
    <r>
      <t xml:space="preserve">Наименование кулинарного изделия (блюда): </t>
    </r>
    <r>
      <rPr>
        <u/>
        <sz val="10"/>
        <color theme="1"/>
        <rFont val="Times New Roman"/>
        <family val="1"/>
        <charset val="204"/>
      </rPr>
      <t>Котлеты, биточки (особые)</t>
    </r>
  </si>
  <si>
    <r>
      <t xml:space="preserve">Номер рецептуры: </t>
    </r>
    <r>
      <rPr>
        <u/>
        <sz val="10"/>
        <color theme="1"/>
        <rFont val="Times New Roman"/>
        <family val="1"/>
        <charset val="204"/>
      </rPr>
      <t>271</t>
    </r>
  </si>
  <si>
    <r>
      <t xml:space="preserve">Наименование кулинарного изделия (блюда): </t>
    </r>
    <r>
      <rPr>
        <u/>
        <sz val="10"/>
        <color theme="1"/>
        <rFont val="Times New Roman"/>
        <family val="1"/>
        <charset val="204"/>
      </rPr>
      <t>Котлеты домашние</t>
    </r>
  </si>
  <si>
    <t>Крупа рисовая</t>
  </si>
  <si>
    <t>Масса гарнира</t>
  </si>
  <si>
    <r>
      <t xml:space="preserve">Технология приготовления: </t>
    </r>
    <r>
      <rPr>
        <sz val="10"/>
        <color theme="1"/>
        <rFont val="Times New Roman"/>
        <family val="1"/>
        <charset val="204"/>
      </rPr>
      <t xml:space="preserve">Нарезанное кусочками по 20 - 30 г мясо посыпают солью, обжаривают, добавляют слегка пассерованные или припущенные с томатным пюре морковь и лук. Мясо и овощи  заливают водой (80 г), доводят до кипеня, всыпают перебранный промытый рис и варят до полуготовности. Когда рис впитает всю жидкость, посуду закрывают крышкой, помещают на протвень с водой и ставят в жарочный шкаф на 25 - 40 мин. Отпускают, равномерно распределяя мясо вместе с рисом и овощами. Плов можно готовить без томатного пюре.
</t>
    </r>
  </si>
  <si>
    <t>Шпик</t>
  </si>
  <si>
    <t>Соль</t>
  </si>
  <si>
    <t>Масса жареного бифштекса</t>
  </si>
  <si>
    <r>
      <t xml:space="preserve">Технология приготовления: </t>
    </r>
    <r>
      <rPr>
        <sz val="10"/>
        <color theme="1"/>
        <rFont val="Times New Roman"/>
        <family val="1"/>
        <charset val="204"/>
      </rPr>
      <t xml:space="preserve">В измельченное мясо со шпиком добавляют соль, воду (или молоко), вымешивают, разделывают в виде биточков по 1 шт. на порцию и жарят. Гарниры - каши рассыпчатые, макаронные изделия отварные, картофель отварной, картофель жареный, овощи отварные с маслом, овощи припущенные с маслом, овощи в молочном соусе. 
</t>
    </r>
  </si>
  <si>
    <r>
      <t xml:space="preserve">Технология приготовления: </t>
    </r>
    <r>
      <rPr>
        <sz val="10"/>
        <color theme="1"/>
        <rFont val="Times New Roman"/>
        <family val="1"/>
        <charset val="204"/>
      </rPr>
      <t>Из готовой котлетной массы разделывают изделия овально-приплюснутой формы с заосренным концом (котлеты), или кругло-приплюснутой формы толщиной 2 - 2,5 см (биточки), или плоско-овальной формы толщиной 1 см (шницели). Котлеты, биточки и шницели можно приготовить с добавлением репчатого лука (5 г нетто)и чеснока (0,5 г нетто). Выход изделий при этом не изменяется, так как соответственно изменяется норма молока или воды. При отпуске изделий их гарнируют и поливают сливочным мвслом или соусом сметанным, или сметанным с томатом, или сметанным с луком. Гарниры - каши рассыпчатые, бобовые отварные, макаронные изделия отварные, картофель отварной, картофельное пюре, картофель жареный, овощи отварные с маслом, капуста тушеная.</t>
    </r>
  </si>
  <si>
    <t>Свинина</t>
  </si>
  <si>
    <t>Масса готовых котлет, биточков</t>
  </si>
  <si>
    <t>или масло сливочное</t>
  </si>
  <si>
    <t>Жир-сырец гояжий, свиной</t>
  </si>
  <si>
    <t>Вода</t>
  </si>
  <si>
    <t xml:space="preserve">Масса полуфабриката </t>
  </si>
  <si>
    <t>Масса готовых изделий</t>
  </si>
  <si>
    <t>Технологическая карта  кулинарного изделия (блюда) № 49</t>
  </si>
  <si>
    <t>Технологическая карта  кулинарного изделия (блюда) № 50</t>
  </si>
  <si>
    <t>Технологическая карта  кулинарного изделия (блюда) № 51</t>
  </si>
  <si>
    <t>Технологическая карта  кулинарного изделия (блюда) № 52</t>
  </si>
  <si>
    <t>Технологическая карта  кулинарного изделия (блюда) № 53</t>
  </si>
  <si>
    <r>
      <t xml:space="preserve">Номер рецептуры: </t>
    </r>
    <r>
      <rPr>
        <u/>
        <sz val="10"/>
        <color theme="1"/>
        <rFont val="Times New Roman"/>
        <family val="1"/>
        <charset val="204"/>
      </rPr>
      <t>279</t>
    </r>
  </si>
  <si>
    <r>
      <t xml:space="preserve">Номер рецептуры: </t>
    </r>
    <r>
      <rPr>
        <u/>
        <sz val="10"/>
        <color theme="1"/>
        <rFont val="Times New Roman"/>
        <family val="1"/>
        <charset val="204"/>
      </rPr>
      <t>280</t>
    </r>
  </si>
  <si>
    <r>
      <t xml:space="preserve">Наименование кулинарного изделия (блюда): </t>
    </r>
    <r>
      <rPr>
        <u/>
        <sz val="10"/>
        <color theme="1"/>
        <rFont val="Times New Roman"/>
        <family val="1"/>
        <charset val="204"/>
      </rPr>
      <t>Фрикадельки в соусе</t>
    </r>
  </si>
  <si>
    <r>
      <t xml:space="preserve">Номер рецептуры: </t>
    </r>
    <r>
      <rPr>
        <u/>
        <sz val="10"/>
        <color theme="1"/>
        <rFont val="Times New Roman"/>
        <family val="1"/>
        <charset val="204"/>
      </rPr>
      <t>284</t>
    </r>
  </si>
  <si>
    <r>
      <t xml:space="preserve">Номер рецептуры: </t>
    </r>
    <r>
      <rPr>
        <u/>
        <sz val="10"/>
        <color theme="1"/>
        <rFont val="Times New Roman"/>
        <family val="1"/>
        <charset val="204"/>
      </rPr>
      <t>288</t>
    </r>
  </si>
  <si>
    <r>
      <t xml:space="preserve">Номер рецептуры: </t>
    </r>
    <r>
      <rPr>
        <u/>
        <sz val="10"/>
        <color theme="1"/>
        <rFont val="Times New Roman"/>
        <family val="1"/>
        <charset val="204"/>
      </rPr>
      <t>289</t>
    </r>
  </si>
  <si>
    <t>Технологическая карта  кулинарного изделия (блюда) № 54</t>
  </si>
  <si>
    <t>Технологическая карта  кулинарного изделия (блюда) № 55</t>
  </si>
  <si>
    <t>Технологическая карта  кулинарного изделия (блюда) № 56</t>
  </si>
  <si>
    <t>Технологическая карта  кулинарного изделия (блюда) № 57</t>
  </si>
  <si>
    <r>
      <t xml:space="preserve">Номер рецептуры: </t>
    </r>
    <r>
      <rPr>
        <u/>
        <sz val="10"/>
        <color theme="1"/>
        <rFont val="Times New Roman"/>
        <family val="1"/>
        <charset val="204"/>
      </rPr>
      <t>290</t>
    </r>
  </si>
  <si>
    <r>
      <t xml:space="preserve">Номер рецептуры: </t>
    </r>
    <r>
      <rPr>
        <u/>
        <sz val="10"/>
        <color theme="1"/>
        <rFont val="Times New Roman"/>
        <family val="1"/>
        <charset val="204"/>
      </rPr>
      <t>291</t>
    </r>
  </si>
  <si>
    <r>
      <t xml:space="preserve">Номер рецептуры: </t>
    </r>
    <r>
      <rPr>
        <u/>
        <sz val="10"/>
        <color theme="1"/>
        <rFont val="Times New Roman"/>
        <family val="1"/>
        <charset val="204"/>
      </rPr>
      <t>292</t>
    </r>
  </si>
  <si>
    <r>
      <t xml:space="preserve">Номер рецептуры: </t>
    </r>
    <r>
      <rPr>
        <u/>
        <sz val="10"/>
        <color theme="1"/>
        <rFont val="Times New Roman"/>
        <family val="1"/>
        <charset val="204"/>
      </rPr>
      <t>294</t>
    </r>
  </si>
  <si>
    <t>Масса готового рассыпчатого риса</t>
  </si>
  <si>
    <t>Масса пассерованного лука</t>
  </si>
  <si>
    <t>Масса готовых тефтелей</t>
  </si>
  <si>
    <t>Соус № 331, № 332</t>
  </si>
  <si>
    <r>
      <t xml:space="preserve">Технология приготовления: </t>
    </r>
    <r>
      <rPr>
        <sz val="10"/>
        <color theme="1"/>
        <rFont val="Times New Roman"/>
        <family val="1"/>
        <charset val="204"/>
      </rPr>
      <t>В мясной фарш без хлеба добавляют соль, мелко нарезанный слегка пассерованный или припущенный лук, рассыпчатый рис, перемешивают и разделывают тефтели в виде шариков по 2 - 3 шт. на порцию. Шарики панируют в муке, обжаривают, перекладывают в неглубокую посуду в 1 - 2 ряда, заливают соусом с добавлением воды (10 - 20 г на порцию) и тушат 8 - 10 мин. При отпуске тефтели гарнируют и поливают соусом, в котором они тушились. Соусы - сметанный с томатом, сметанный с томатом и луком. Гарниры - картофель отварной, пюре картофельное, овощи отварные с маслом.</t>
    </r>
  </si>
  <si>
    <t>Масса готовых фрикаделек</t>
  </si>
  <si>
    <t>Соус № 330, № 331, № 332</t>
  </si>
  <si>
    <r>
      <t xml:space="preserve">Технология приготовления: </t>
    </r>
    <r>
      <rPr>
        <sz val="10"/>
        <color theme="1"/>
        <rFont val="Times New Roman"/>
        <family val="1"/>
        <charset val="204"/>
      </rPr>
      <t>Котлетную массу с добавление сырого репчатого лука разделывают в виде шариков массой 10 - 12 г, затем панируют в муке, обжаривают, перекладывают в неглубокую посуду в 1 - 2 ряда, заливают соусом с добавлением воды (10 - 20 г на порцию) и тушат 5 - 10 мин до готовности. Отпускают фрикадельки с соусом, в котором он тушились, и гарниром. Соусы - сметанный, сметанный с томатом, сметанный с луком. Гарниры - каши рассыпчатые, рис отварной, картофель оварной, пюре картофельное, картофель жареный, овощи отварные с маслом.</t>
    </r>
  </si>
  <si>
    <t>Масса готового мясопродуктов</t>
  </si>
  <si>
    <t>Масса вареного протертого картофеля</t>
  </si>
  <si>
    <t>Масса запечено блюда</t>
  </si>
  <si>
    <t>или печень говяжья</t>
  </si>
  <si>
    <t>Химический состав, витамины и микроэлементы на 1 порцию (Говядина)</t>
  </si>
  <si>
    <t>Химический состав, витамины и микроэлементы на 1 порцию (Печень)</t>
  </si>
  <si>
    <t>Курица</t>
  </si>
  <si>
    <t>Масса вареной птицы</t>
  </si>
  <si>
    <r>
      <t xml:space="preserve">Технология приготовления: </t>
    </r>
    <r>
      <rPr>
        <sz val="10"/>
        <color theme="1"/>
        <rFont val="Times New Roman"/>
        <family val="1"/>
        <charset val="204"/>
      </rPr>
      <t>Подготовленную тушку птицы кладут в горячую воду (2 - 2,5 л на 1 кг продукта), бысто доводят до кипения, а затем нагрев уменьшают. С закипевшего бульона снимают пену, добавляют соль, нарезанные коренья, лук, и варят до готовности при слабом кипении в закрытой посуде. Сваренные тушки вынимают из бульона, дают им остыть и нарубают на порции (филе и окорочек). Хранят в бульоне на марните в закрытой посуде, предварительно прокипятив. При отпуске отварную птицу гарнируют и поливают соусом или маслом. Гарнир - каши рассыпчатые, рис отварной, картофель оварной, пюре картофельное, овощи отварные с маслом. Соусы - сметанный, сметанный с томатом.</t>
    </r>
  </si>
  <si>
    <t>Масса жареной птицы</t>
  </si>
  <si>
    <t>Масса гарнира и соуса</t>
  </si>
  <si>
    <r>
      <t xml:space="preserve">Технология приготовления: </t>
    </r>
    <r>
      <rPr>
        <sz val="10"/>
        <color theme="1"/>
        <rFont val="Times New Roman"/>
        <family val="1"/>
        <charset val="204"/>
      </rPr>
      <t>Подготовленные тушки птицы, нарубленные на куски по 30 - 35 г, обжаривают до образования корочки, заливают горячей водой в количестве 20 - 30 % от массы набора продуктов, добавляют пассерованное томатное пюре и тушат 30 - 40 мин. Бульон, оставшийся после тушения, сливают и приготавливают на нем соус, которым заливают тушеные кусочки мяса, добавляют обжаренные нарезанные кусочками картофель, морковь, лук и тушат еще 15 - 20 мин. Отпускают рагу вместе с соусом и гарниром.</t>
    </r>
  </si>
  <si>
    <t>Соус № 330, № 331</t>
  </si>
  <si>
    <r>
      <t xml:space="preserve">Технология приготовления: </t>
    </r>
    <r>
      <rPr>
        <sz val="10"/>
        <color theme="1"/>
        <rFont val="Times New Roman"/>
        <family val="1"/>
        <charset val="204"/>
      </rPr>
      <t>Подготовленные тушки птицы обжаривают до образования корочки, разрубают на порционные куски, заливают соусом и тушат 10 - 15 мин. При отпуске гарнируют и поливают соусом, в котором тушилась птица. Гарнир - рис отварной, картофель отварной, картофельное пюре, картофель жарный.</t>
    </r>
  </si>
  <si>
    <t>Масса тушеной птицы</t>
  </si>
  <si>
    <t>Масса готового риса с овощами</t>
  </si>
  <si>
    <r>
      <t xml:space="preserve">Технология приготовления: </t>
    </r>
    <r>
      <rPr>
        <sz val="10"/>
        <color theme="1"/>
        <rFont val="Times New Roman"/>
        <family val="1"/>
        <charset val="204"/>
      </rPr>
      <t xml:space="preserve">Птицу рубят на порции (по одному куску), обжаривают до образования корочки, посыпают солью, кладут в посуду, добавляю пассерованные, мелко нарезанные морковь и лук, томатное пюре, заливают горячей водой и дают закипеть (жидкость наливают из расчета нормы воды для приготовления рассыпчатой каши), затем кладут промытую рисовую крупу и варят до загустения. После этого посуду с пловом ставят на 30 - 40 миин в жарочный шкаф. </t>
    </r>
  </si>
  <si>
    <t>Горошек зленый консервированный</t>
  </si>
  <si>
    <t>Соус № 331</t>
  </si>
  <si>
    <r>
      <t xml:space="preserve">Технология приготовления: </t>
    </r>
    <r>
      <rPr>
        <sz val="10"/>
        <color theme="1"/>
        <rFont val="Times New Roman"/>
        <family val="1"/>
        <charset val="204"/>
      </rPr>
      <t>Обжаренную до золотистой корочки птицу рубят на порции, добавляют нарезанный дольками обжаренный картофель, пассерованные морковь, петрушку, лук, заливают соусом сметанным с томатом и тушат 20 - 30 мин. За 5 - 10 мин до готовности добавляют зеленый горошек. Тушеную птицу отпускают с овощами и соусом, в котором они тушились.</t>
    </r>
  </si>
  <si>
    <t>Внутренний жир</t>
  </si>
  <si>
    <t>или хлеб пшеничный</t>
  </si>
  <si>
    <t>Масса полуфабриката панированного в сухарях</t>
  </si>
  <si>
    <t>в хлебе пшеничном</t>
  </si>
  <si>
    <t>Масса жареных котлет</t>
  </si>
  <si>
    <r>
      <t xml:space="preserve">Технология приготовления: </t>
    </r>
    <r>
      <rPr>
        <sz val="10"/>
        <color theme="1"/>
        <rFont val="Times New Roman"/>
        <family val="1"/>
        <charset val="204"/>
      </rPr>
      <t>Мясо птицы нарезают на кусочки и пропускают через мясорубку вместе с внутренним жиром, соединяют с замоченным в молоке или воде хлебом, кладут соль, хорошо перемешивают, пропускают через мясорубку и выбивают. Готовую котлетную массу порционируют, панируют в сухарях или белой панировке, формуют котлеты, затем обжаривают с обеих сторон и доводят до готовности в жарочном шкафу. Гарниры - кашы рассыпчатые, пюре картофельное, картофель жареный. Соусы - сметанный, сметанный с луком.</t>
    </r>
  </si>
  <si>
    <r>
      <t xml:space="preserve">Номер рецептуры: </t>
    </r>
    <r>
      <rPr>
        <u/>
        <sz val="10"/>
        <color theme="1"/>
        <rFont val="Times New Roman"/>
        <family val="1"/>
        <charset val="204"/>
      </rPr>
      <t>82</t>
    </r>
  </si>
  <si>
    <r>
      <t xml:space="preserve">Номер рецептуры: </t>
    </r>
    <r>
      <rPr>
        <u/>
        <sz val="10"/>
        <color theme="1"/>
        <rFont val="Times New Roman"/>
        <family val="1"/>
        <charset val="204"/>
      </rPr>
      <t>88</t>
    </r>
  </si>
  <si>
    <r>
      <t xml:space="preserve">Номер рецептуры: </t>
    </r>
    <r>
      <rPr>
        <u/>
        <sz val="10"/>
        <color theme="1"/>
        <rFont val="Times New Roman"/>
        <family val="1"/>
        <charset val="204"/>
      </rPr>
      <t>95</t>
    </r>
  </si>
  <si>
    <r>
      <t xml:space="preserve">Номер рецептуры: </t>
    </r>
    <r>
      <rPr>
        <u/>
        <sz val="10"/>
        <color theme="1"/>
        <rFont val="Times New Roman"/>
        <family val="1"/>
        <charset val="204"/>
      </rPr>
      <t>96</t>
    </r>
  </si>
  <si>
    <r>
      <t xml:space="preserve">Номер рецептуры: </t>
    </r>
    <r>
      <rPr>
        <u/>
        <sz val="10"/>
        <color theme="1"/>
        <rFont val="Times New Roman"/>
        <family val="1"/>
        <charset val="204"/>
      </rPr>
      <t>99</t>
    </r>
  </si>
  <si>
    <r>
      <t xml:space="preserve">Номер рецептуры: </t>
    </r>
    <r>
      <rPr>
        <u/>
        <sz val="10"/>
        <color theme="1"/>
        <rFont val="Times New Roman"/>
        <family val="1"/>
        <charset val="204"/>
      </rPr>
      <t>101</t>
    </r>
  </si>
  <si>
    <r>
      <t xml:space="preserve">Номер рецептуры: </t>
    </r>
    <r>
      <rPr>
        <u/>
        <sz val="10"/>
        <color theme="1"/>
        <rFont val="Times New Roman"/>
        <family val="1"/>
        <charset val="204"/>
      </rPr>
      <t>102</t>
    </r>
  </si>
  <si>
    <r>
      <t xml:space="preserve">Номер рецептуры: </t>
    </r>
    <r>
      <rPr>
        <u/>
        <sz val="10"/>
        <color theme="1"/>
        <rFont val="Times New Roman"/>
        <family val="1"/>
        <charset val="204"/>
      </rPr>
      <t>103</t>
    </r>
  </si>
  <si>
    <r>
      <t xml:space="preserve">Номер рецептуры: </t>
    </r>
    <r>
      <rPr>
        <u/>
        <sz val="10"/>
        <color theme="1"/>
        <rFont val="Times New Roman"/>
        <family val="1"/>
        <charset val="204"/>
      </rPr>
      <t>108</t>
    </r>
  </si>
  <si>
    <r>
      <t xml:space="preserve">Номер рецептуры: </t>
    </r>
    <r>
      <rPr>
        <u/>
        <sz val="10"/>
        <color theme="1"/>
        <rFont val="Times New Roman"/>
        <family val="1"/>
        <charset val="204"/>
      </rPr>
      <t>112</t>
    </r>
  </si>
  <si>
    <r>
      <t xml:space="preserve">Номер рецептуры: </t>
    </r>
    <r>
      <rPr>
        <u/>
        <sz val="10"/>
        <color theme="1"/>
        <rFont val="Times New Roman"/>
        <family val="1"/>
        <charset val="204"/>
      </rPr>
      <t>113</t>
    </r>
  </si>
  <si>
    <r>
      <t xml:space="preserve">Наименование кулинарного изделия (блюда): </t>
    </r>
    <r>
      <rPr>
        <u/>
        <sz val="10"/>
        <color theme="1"/>
        <rFont val="Times New Roman"/>
        <family val="1"/>
        <charset val="204"/>
      </rPr>
      <t>Борщ с капустой и картофелем</t>
    </r>
  </si>
  <si>
    <r>
      <t xml:space="preserve">Наименование кулинарногоизделия (блюда): </t>
    </r>
    <r>
      <rPr>
        <u/>
        <sz val="10"/>
        <color theme="1"/>
        <rFont val="Times New Roman"/>
        <family val="1"/>
        <charset val="204"/>
      </rPr>
      <t>Щи из свежей капусты с картофелем</t>
    </r>
  </si>
  <si>
    <r>
      <t xml:space="preserve">Наименование кулинарного изделия (блюда): </t>
    </r>
    <r>
      <rPr>
        <u/>
        <sz val="10"/>
        <color theme="1"/>
        <rFont val="Times New Roman"/>
        <family val="1"/>
        <charset val="204"/>
      </rPr>
      <t>Рассольник домашний</t>
    </r>
  </si>
  <si>
    <r>
      <t xml:space="preserve">Наименование кулинарного изделия (блюда): </t>
    </r>
    <r>
      <rPr>
        <u/>
        <sz val="10"/>
        <color theme="1"/>
        <rFont val="Times New Roman"/>
        <family val="1"/>
        <charset val="204"/>
      </rPr>
      <t>Рассольник ленинградский</t>
    </r>
  </si>
  <si>
    <r>
      <t xml:space="preserve">Наименование кулинарного изделия (блюда): </t>
    </r>
    <r>
      <rPr>
        <u/>
        <sz val="10"/>
        <color theme="1"/>
        <rFont val="Times New Roman"/>
        <family val="1"/>
        <charset val="204"/>
      </rPr>
      <t>Суп картофельный с крупой</t>
    </r>
  </si>
  <si>
    <r>
      <t xml:space="preserve">Наименование кулинарного изделия (блюда): </t>
    </r>
    <r>
      <rPr>
        <u/>
        <sz val="10"/>
        <color theme="1"/>
        <rFont val="Times New Roman"/>
        <family val="1"/>
        <charset val="204"/>
      </rPr>
      <t>Суп картофельный с бобовыми</t>
    </r>
  </si>
  <si>
    <r>
      <t xml:space="preserve">Наименование кулинарного изделия (блюда): </t>
    </r>
    <r>
      <rPr>
        <u/>
        <sz val="10"/>
        <color theme="1"/>
        <rFont val="Times New Roman"/>
        <family val="1"/>
        <charset val="204"/>
      </rPr>
      <t>Суп картофельный с макаронными изделиями</t>
    </r>
  </si>
  <si>
    <r>
      <t xml:space="preserve">Наименование кулинарного изделия (блюда): </t>
    </r>
    <r>
      <rPr>
        <u/>
        <sz val="10"/>
        <color theme="1"/>
        <rFont val="Times New Roman"/>
        <family val="1"/>
        <charset val="204"/>
      </rPr>
      <t>Суп картофельный с клецками</t>
    </r>
  </si>
  <si>
    <r>
      <t xml:space="preserve">Наименование кулинарного изделия (блюда): </t>
    </r>
    <r>
      <rPr>
        <u/>
        <sz val="10"/>
        <color theme="1"/>
        <rFont val="Times New Roman"/>
        <family val="1"/>
        <charset val="204"/>
      </rPr>
      <t>Суп с макаронными изделиями и картофелем</t>
    </r>
  </si>
  <si>
    <r>
      <t xml:space="preserve">Наименование кулинарного изделия (блюда): </t>
    </r>
    <r>
      <rPr>
        <u/>
        <sz val="10"/>
        <color theme="1"/>
        <rFont val="Times New Roman"/>
        <family val="1"/>
        <charset val="204"/>
      </rPr>
      <t>Суп-лапша домашняя</t>
    </r>
  </si>
  <si>
    <t>или квашеная</t>
  </si>
  <si>
    <t>Бульон или вода</t>
  </si>
  <si>
    <r>
      <t xml:space="preserve">Технология приготовления: </t>
    </r>
    <r>
      <rPr>
        <sz val="10"/>
        <color theme="1"/>
        <rFont val="Times New Roman"/>
        <family val="1"/>
        <charset val="204"/>
      </rPr>
      <t>В кипящий бульон или воду закладывают нашинкованную свежую капусту, доводят до кипения, затем добавляют картофель, нарезанный брусочками, варят 10 - 15 мин, кладут слегка пассерованные или припущенные овощи, тушеную или вареную свеклу и варят борщ до готовности. За 5 - 10 мин до окончания варки добавляют соль, сахар. При использовании квашеной капусты, ее в тушеном виде вводят в борщ вместе со свеклой. Борщ можно запрвить подсушенной мукой, разведенной бульоном или водой (10 г муки на 1000 г борща).</t>
    </r>
  </si>
  <si>
    <r>
      <t xml:space="preserve">Технология приготовления: </t>
    </r>
    <r>
      <rPr>
        <sz val="10"/>
        <color theme="1"/>
        <rFont val="Times New Roman"/>
        <family val="1"/>
        <charset val="204"/>
      </rPr>
      <t>В кипящий бульон или воду кладут нашинкованную капусту, доводят до кипения, добавляют картофель, нарезанный брусочками, а через 5 - 10 мин вводят слегка пассерованные или припущенные овощи и припущенные огурцы. За 5 - 10 мин до окончания варки добавляют соль.</t>
    </r>
  </si>
  <si>
    <t>Крупа перловая</t>
  </si>
  <si>
    <r>
      <t xml:space="preserve">Технология приготовления: </t>
    </r>
    <r>
      <rPr>
        <sz val="10"/>
        <color theme="1"/>
        <rFont val="Times New Roman"/>
        <family val="1"/>
        <charset val="204"/>
      </rPr>
      <t>В кипящий бульон или воду кладут подготовленную крупу, доводят до кипения, закладывают картофель, нарезанный брусочками, а через 5 - 10 мин вводят слегка пассерованные или припущенные овощи и припущенные огурцы. За 5 - 10 мин до окончания варки добавляют соль.</t>
    </r>
  </si>
  <si>
    <r>
      <t xml:space="preserve">Технология приготовления: </t>
    </r>
    <r>
      <rPr>
        <sz val="10"/>
        <color theme="1"/>
        <rFont val="Times New Roman"/>
        <family val="1"/>
        <charset val="204"/>
      </rPr>
      <t>Капусту нарезают шашками, картофель дольками. В кипящий бульон или воду закладывают капусту, доводят до кипения, затем кладут картофель, добавляют слегка пассерованные или припущенные морковь, лук и варят до готовности. За 5 - 10 мин до окончания варки в щи добавляют прогретое томатное пюре. При изготовлении щей из ранней капусты ее закладывают после картофеля.</t>
    </r>
  </si>
  <si>
    <t>Крупа: перловая, осяная, пшеничная</t>
  </si>
  <si>
    <t>или рисовая, пшено</t>
  </si>
  <si>
    <t>Бульон или вода для круп пшеничной, овсяной, перловой</t>
  </si>
  <si>
    <t>или остальных круп</t>
  </si>
  <si>
    <r>
      <t xml:space="preserve">Технология приготовления: </t>
    </r>
    <r>
      <rPr>
        <sz val="10"/>
        <color theme="1"/>
        <rFont val="Times New Roman"/>
        <family val="1"/>
        <charset val="204"/>
      </rPr>
      <t xml:space="preserve">Лук мелко рубят, морковь нарезают мелкими кубиками и слегка пассеруют или припускают. Картофель нарезают кубиками. В кипящий бульон или воду кладут подготовленную крупу, картофель, пассерованные овощи и варят до готовности. За 5 - 10 мин до окончания варки кладут соль. Крупу рисовую кладу в бульон или воду одновременно с подготовленными овощами. </t>
    </r>
  </si>
  <si>
    <r>
      <t xml:space="preserve">Технология приготовления: </t>
    </r>
    <r>
      <rPr>
        <sz val="10"/>
        <color theme="1"/>
        <rFont val="Times New Roman"/>
        <family val="1"/>
        <charset val="204"/>
      </rPr>
      <t>Картофель нарезают крупными кубиками, морковь и петрушку - мелкими кубиками, лук мелко рубят. Подготовленный горох кладут в бульон или воду, доводят до кипения, добавляют картофель, слегка пассерованные или припущенные морковь и лук и варят до готовности.</t>
    </r>
  </si>
  <si>
    <t>Горох лущеный</t>
  </si>
  <si>
    <t>Макароны</t>
  </si>
  <si>
    <t>Клецки готовые № 109</t>
  </si>
  <si>
    <r>
      <t>Технология приготовления:</t>
    </r>
    <r>
      <rPr>
        <sz val="10"/>
        <color theme="1"/>
        <rFont val="Times New Roman"/>
        <family val="1"/>
        <charset val="204"/>
      </rPr>
      <t xml:space="preserve"> В кипящий бульон кладут нашинкованную белокочанную капусту, картофель, нарезанный дольками. За 10 - 15 мин до окончания варки супа добавляют слегка пассерованные или припущенные овощи, горошек зеленый, соль. Суп можно отпускать с прокипяченной сметаной.</t>
    </r>
  </si>
  <si>
    <r>
      <t xml:space="preserve">Технология приготовления: </t>
    </r>
    <r>
      <rPr>
        <sz val="10"/>
        <color theme="1"/>
        <rFont val="Times New Roman"/>
        <family val="1"/>
        <charset val="204"/>
      </rPr>
      <t>В кипящий бульон или воду кладут картофель, нарезанный кубиками, доводят до кипения, добавляют слегка пассерованные или припущенные морковь, лук и варят до готовности. За 5 - 10 мин до окончания варки кладут соль. Клецки варят отдельно в бульоне или в подсоленной воде небольшими партиями и кладут в суп при отпуске.</t>
    </r>
  </si>
  <si>
    <r>
      <t xml:space="preserve">Технология приготовления: </t>
    </r>
    <r>
      <rPr>
        <sz val="10"/>
        <color theme="1"/>
        <rFont val="Times New Roman"/>
        <family val="1"/>
        <charset val="204"/>
      </rPr>
      <t>Овощи нарезают в соответствии с видом используемых макаронных изделий: картофель - брусочками или кубиками, коренья - брусочками, соломкой или кубиками, лук шинкуют или мелко рубят. Морковь и лук пассеруют. В кипящий бульон или воду кладут макароны и варят 10 - 15 мин, затем добавляют картофель и слегка пассерованные или припущенные овощи, лапшу, соль и варят до готовности. Вермишель и фигурные изделия добавляют в суп за 10 - 15 мин до готовности супа.</t>
    </r>
  </si>
  <si>
    <r>
      <t xml:space="preserve">Технология приготовления: </t>
    </r>
    <r>
      <rPr>
        <sz val="10"/>
        <color theme="1"/>
        <rFont val="Times New Roman"/>
        <family val="1"/>
        <charset val="204"/>
      </rPr>
      <t>Овощи нарезают в соответствии с видом используемых макаронных изделий: картофель - брусочками или кубиками, коренья - брусочками, соломкой или кубиками, лук шинкуют или мелко рубят. Морковь и лук пассеруют. В кипящий бульон или воду кладут макароны и варят 10 - 15 мин, затем добавляют картофель и пассерованные овощи, соль и варят до готовности. Лапшу кладут в суп одновременно с картофелем, а вермишель и фигурные изделия - за 15 - 20 мин до готовности супа.</t>
    </r>
  </si>
  <si>
    <t>Маса вареной лапши</t>
  </si>
  <si>
    <r>
      <t xml:space="preserve">Технология приготовления: </t>
    </r>
    <r>
      <rPr>
        <sz val="10"/>
        <color theme="1"/>
        <rFont val="Times New Roman"/>
        <family val="1"/>
        <charset val="204"/>
      </rPr>
      <t xml:space="preserve">В кипящий бульон или воду кладут слегка пассерованный или припущенный лук и варят с момента закипания 5 - 8 мин, после чего добавляют подготовленную домашнюю лапшу и варят до готовности.
</t>
    </r>
  </si>
  <si>
    <t>Молоко</t>
  </si>
  <si>
    <r>
      <t xml:space="preserve">Технология приготовления: </t>
    </r>
    <r>
      <rPr>
        <sz val="10"/>
        <color theme="1"/>
        <rFont val="Times New Roman"/>
        <family val="1"/>
        <charset val="204"/>
      </rPr>
      <t xml:space="preserve">Макаронные изделия варят в воде до полуготовности (макароны - 15 - 20 мин, лапшу - 10 - 12 мин, вермишель - 5 - 7 мин), воду сливают, а макаронные изделия закладывают в кипящую смесь молока и воды и, периодически помешивая, варят до готовности, кладут соль, сахар. При отпуске заправляют маслом.
</t>
    </r>
  </si>
  <si>
    <t>Технологическая карта  кулинарного изделия (блюда) № 58</t>
  </si>
  <si>
    <t>Технологическая карта  кулинарного изделия (блюда) № 59</t>
  </si>
  <si>
    <t>Технологическая карта  кулинарногоизделия (блюда) № 60</t>
  </si>
  <si>
    <t>Технологическая карта  кулинарного изделия (блюда) № 61</t>
  </si>
  <si>
    <t>Технологическая карта  кулинарного изделия (блюда) № 62</t>
  </si>
  <si>
    <t>Технологическая карта  кулинарного изделия (блюда) № 63</t>
  </si>
  <si>
    <t>Технологическая карта  кулинарного изделия (блюда) № 64</t>
  </si>
  <si>
    <t>Технологическая карта  кулинарного изделия (блюда) № 65</t>
  </si>
  <si>
    <t>Технологическая карта  кулинарного изделия (блюда) № 66</t>
  </si>
  <si>
    <t>Технологическая карта  кулинарного изделия (блюда) № 67</t>
  </si>
  <si>
    <t>Технологическая карта  кулинарного изделия (блюда) № 68</t>
  </si>
  <si>
    <t>Технологическая карта  кулинарного изделия (блюда) № 69</t>
  </si>
  <si>
    <t>Технологическая карта  кулинарного изделия (блюда) № 70</t>
  </si>
  <si>
    <t>Технологическая карта  кулинарного изделия (блюда) № 71</t>
  </si>
  <si>
    <t>Технологическая карта  кулинарного изделия (блюда) № 72</t>
  </si>
  <si>
    <r>
      <t xml:space="preserve">Номер рецептуры: </t>
    </r>
    <r>
      <rPr>
        <u/>
        <sz val="10"/>
        <color theme="1"/>
        <rFont val="Times New Roman"/>
        <family val="1"/>
        <charset val="204"/>
      </rPr>
      <t>171</t>
    </r>
  </si>
  <si>
    <r>
      <t xml:space="preserve">Номер рецептуры: </t>
    </r>
    <r>
      <rPr>
        <u/>
        <sz val="10"/>
        <color theme="1"/>
        <rFont val="Times New Roman"/>
        <family val="1"/>
        <charset val="204"/>
      </rPr>
      <t>174</t>
    </r>
  </si>
  <si>
    <r>
      <t xml:space="preserve">Наименование кулинарного изделия (блюда): </t>
    </r>
    <r>
      <rPr>
        <u/>
        <sz val="10"/>
        <color theme="1"/>
        <rFont val="Times New Roman"/>
        <family val="1"/>
        <charset val="204"/>
      </rPr>
      <t>Каша рассыпчатая</t>
    </r>
  </si>
  <si>
    <r>
      <t xml:space="preserve">Номер рецептуры: </t>
    </r>
    <r>
      <rPr>
        <u/>
        <sz val="10"/>
        <color theme="1"/>
        <rFont val="Times New Roman"/>
        <family val="1"/>
        <charset val="204"/>
      </rPr>
      <t>175</t>
    </r>
  </si>
  <si>
    <r>
      <t xml:space="preserve">Наименование кулинарного изделия (блюда): </t>
    </r>
    <r>
      <rPr>
        <u/>
        <sz val="10"/>
        <color theme="1"/>
        <rFont val="Times New Roman"/>
        <family val="1"/>
        <charset val="204"/>
      </rPr>
      <t>Каша вязкая молочная из риса и пшена</t>
    </r>
  </si>
  <si>
    <r>
      <t xml:space="preserve">Номер рецептуры: </t>
    </r>
    <r>
      <rPr>
        <u/>
        <sz val="10"/>
        <color theme="1"/>
        <rFont val="Times New Roman"/>
        <family val="1"/>
        <charset val="204"/>
      </rPr>
      <t>181</t>
    </r>
  </si>
  <si>
    <r>
      <t xml:space="preserve">Наименование кулинарного изделия (блюда): </t>
    </r>
    <r>
      <rPr>
        <u/>
        <sz val="10"/>
        <color theme="1"/>
        <rFont val="Times New Roman"/>
        <family val="1"/>
        <charset val="204"/>
      </rPr>
      <t>Каша жидкая молочная из манной крупы</t>
    </r>
  </si>
  <si>
    <r>
      <t xml:space="preserve">Наименование кулинарного изделия (блюда): </t>
    </r>
    <r>
      <rPr>
        <u/>
        <sz val="10"/>
        <color theme="1"/>
        <rFont val="Times New Roman"/>
        <family val="1"/>
        <charset val="204"/>
      </rPr>
      <t>Запеканка рисовая с творогом</t>
    </r>
  </si>
  <si>
    <r>
      <t xml:space="preserve">Номер рецептуры: </t>
    </r>
    <r>
      <rPr>
        <u/>
        <sz val="10"/>
        <color theme="1"/>
        <rFont val="Times New Roman"/>
        <family val="1"/>
        <charset val="204"/>
      </rPr>
      <t>190</t>
    </r>
  </si>
  <si>
    <r>
      <t xml:space="preserve">Номер рецептуры: </t>
    </r>
    <r>
      <rPr>
        <u/>
        <sz val="10"/>
        <color theme="1"/>
        <rFont val="Times New Roman"/>
        <family val="1"/>
        <charset val="204"/>
      </rPr>
      <t>203</t>
    </r>
  </si>
  <si>
    <r>
      <t xml:space="preserve">Наименование кулинарного изделия (блюда): </t>
    </r>
    <r>
      <rPr>
        <u/>
        <sz val="10"/>
        <color theme="1"/>
        <rFont val="Times New Roman"/>
        <family val="1"/>
        <charset val="204"/>
      </rPr>
      <t>Макаронные изделия отварные с маслом</t>
    </r>
  </si>
  <si>
    <r>
      <t xml:space="preserve">Номер рецептуры: </t>
    </r>
    <r>
      <rPr>
        <u/>
        <sz val="10"/>
        <color theme="1"/>
        <rFont val="Times New Roman"/>
        <family val="1"/>
        <charset val="204"/>
      </rPr>
      <t>210</t>
    </r>
  </si>
  <si>
    <r>
      <t xml:space="preserve">Наименование кулинарного изделия (блюда): </t>
    </r>
    <r>
      <rPr>
        <u/>
        <sz val="10"/>
        <color theme="1"/>
        <rFont val="Times New Roman"/>
        <family val="1"/>
        <charset val="204"/>
      </rPr>
      <t>Омлет натуральный</t>
    </r>
  </si>
  <si>
    <r>
      <t xml:space="preserve">Номер рецептуры: </t>
    </r>
    <r>
      <rPr>
        <u/>
        <sz val="10"/>
        <color theme="1"/>
        <rFont val="Times New Roman"/>
        <family val="1"/>
        <charset val="204"/>
      </rPr>
      <t>221</t>
    </r>
  </si>
  <si>
    <r>
      <t xml:space="preserve">Наименование кулинарного изделия (блюда): </t>
    </r>
    <r>
      <rPr>
        <u/>
        <sz val="10"/>
        <color theme="1"/>
        <rFont val="Times New Roman"/>
        <family val="1"/>
        <charset val="204"/>
      </rPr>
      <t>Сырники с морковью</t>
    </r>
  </si>
  <si>
    <r>
      <t xml:space="preserve">Номер рецептуры: </t>
    </r>
    <r>
      <rPr>
        <u/>
        <sz val="10"/>
        <color theme="1"/>
        <rFont val="Times New Roman"/>
        <family val="1"/>
        <charset val="204"/>
      </rPr>
      <t>222</t>
    </r>
  </si>
  <si>
    <r>
      <t xml:space="preserve">Номер рецептуры: </t>
    </r>
    <r>
      <rPr>
        <u/>
        <sz val="10"/>
        <color theme="1"/>
        <rFont val="Times New Roman"/>
        <family val="1"/>
        <charset val="204"/>
      </rPr>
      <t>223</t>
    </r>
  </si>
  <si>
    <r>
      <t xml:space="preserve">Наименование кулинарного изделия (блюда): </t>
    </r>
    <r>
      <rPr>
        <u/>
        <sz val="10"/>
        <color theme="1"/>
        <rFont val="Times New Roman"/>
        <family val="1"/>
        <charset val="204"/>
      </rPr>
      <t>Запеканка из творога</t>
    </r>
  </si>
  <si>
    <r>
      <t xml:space="preserve">Номер рецептуры: </t>
    </r>
    <r>
      <rPr>
        <u/>
        <sz val="10"/>
        <color theme="1"/>
        <rFont val="Times New Roman"/>
        <family val="1"/>
        <charset val="204"/>
      </rPr>
      <t>304</t>
    </r>
  </si>
  <si>
    <r>
      <t xml:space="preserve">Номер рецептуры: </t>
    </r>
    <r>
      <rPr>
        <u/>
        <sz val="10"/>
        <color theme="1"/>
        <rFont val="Times New Roman"/>
        <family val="1"/>
        <charset val="204"/>
      </rPr>
      <t>310</t>
    </r>
  </si>
  <si>
    <r>
      <t xml:space="preserve">Наименование кулинарного изделия (блюда): </t>
    </r>
    <r>
      <rPr>
        <u/>
        <sz val="10"/>
        <color theme="1"/>
        <rFont val="Times New Roman"/>
        <family val="1"/>
        <charset val="204"/>
      </rPr>
      <t>Рис отварной</t>
    </r>
  </si>
  <si>
    <r>
      <t xml:space="preserve">Наименование кулинарного изделия (блюда): </t>
    </r>
    <r>
      <rPr>
        <u/>
        <sz val="10"/>
        <color theme="1"/>
        <rFont val="Times New Roman"/>
        <family val="1"/>
        <charset val="204"/>
      </rPr>
      <t>Картофель отварной</t>
    </r>
  </si>
  <si>
    <r>
      <t xml:space="preserve">Номер рецептуры: </t>
    </r>
    <r>
      <rPr>
        <u/>
        <sz val="10"/>
        <color theme="1"/>
        <rFont val="Times New Roman"/>
        <family val="1"/>
        <charset val="204"/>
      </rPr>
      <t>312</t>
    </r>
  </si>
  <si>
    <r>
      <t xml:space="preserve">Наименование кулинарного изделия (блюда): </t>
    </r>
    <r>
      <rPr>
        <u/>
        <sz val="10"/>
        <color theme="1"/>
        <rFont val="Times New Roman"/>
        <family val="1"/>
        <charset val="204"/>
      </rPr>
      <t>Пюре картофельное</t>
    </r>
  </si>
  <si>
    <t>Технологическая карта  кулинарного изделия (блюда) № 73</t>
  </si>
  <si>
    <r>
      <t xml:space="preserve">Номер рецептуры: </t>
    </r>
    <r>
      <rPr>
        <u/>
        <sz val="10"/>
        <color theme="1"/>
        <rFont val="Times New Roman"/>
        <family val="1"/>
        <charset val="204"/>
      </rPr>
      <t>321</t>
    </r>
  </si>
  <si>
    <t>Технологическая карта  кулинарного изделия (блюда) № 74</t>
  </si>
  <si>
    <t>Технологическая карта  кулинарного изделия (блюда) № 75</t>
  </si>
  <si>
    <t>Технологическая карта  кулинарногоизделия (блюда) № 76</t>
  </si>
  <si>
    <t>Технологическая карта  кулинарного изделия (блюда) № 77</t>
  </si>
  <si>
    <t>Технологическая карта  кулинарного изделия (блюда) № 78</t>
  </si>
  <si>
    <t>Технологическая карта  кулинарного изделия (блюда) № 79</t>
  </si>
  <si>
    <t>Технологическая карта  кулинарного изделия (блюда) № 80</t>
  </si>
  <si>
    <t>Технологическая карта  кулинарного изделия (блюда) № 81</t>
  </si>
  <si>
    <t>Технологическая карта  кулинарного изделия (блюда) № 82</t>
  </si>
  <si>
    <t>Технологическая карта  кулинарного изделия (блюда) № 83</t>
  </si>
  <si>
    <t>Технологическая карта  кулинарного изделия (блюда) № 84</t>
  </si>
  <si>
    <t>Технологическая карта  кулинарного изделия (блюда) № 85</t>
  </si>
  <si>
    <t>Раствор лимонной кислоты 3 %-ный</t>
  </si>
  <si>
    <t>Перец черный горошком</t>
  </si>
  <si>
    <t>Лавровый лист</t>
  </si>
  <si>
    <t>Химический состав, витамины и микроэлементы на 1 порцию (Капуста белокочанная)</t>
  </si>
  <si>
    <t>Химический состав, витамины и микроэлементы на 1 порцию (Капуста квашеная)</t>
  </si>
  <si>
    <r>
      <t xml:space="preserve">Технология приготовления: </t>
    </r>
    <r>
      <rPr>
        <sz val="10"/>
        <color theme="1"/>
        <rFont val="Times New Roman"/>
        <family val="1"/>
        <charset val="204"/>
      </rPr>
      <t>Нарезанную соломкой капусту кладут в котел слоем до 30 см, добавляют воду, лимонную кислоту, масло сливочное, пассерованное томатное пюре и тушат до полуготовности при периодическом помешивании. Затем добавляют пассерованные нарезанные соломкой морковь, лук репчатый и тушат до готовности. За 5 мин до конца тушения капусту заправляют мучной пассеровкой, добавляют сахар, перец, лавровый лист и доводят до кипения.</t>
    </r>
  </si>
  <si>
    <r>
      <t xml:space="preserve">Технология приготовления: </t>
    </r>
    <r>
      <rPr>
        <sz val="10"/>
        <color theme="1"/>
        <rFont val="Times New Roman"/>
        <family val="1"/>
        <charset val="204"/>
      </rPr>
      <t>Очищенный картофель варят в кипящей подсоленной воде до готовности. Воду сливают. Добавляют кипяченое молоко и сливочное масло. Протирают, перемешивают.</t>
    </r>
  </si>
  <si>
    <t>или картофель молодой</t>
  </si>
  <si>
    <t>Масса картофеля вареного</t>
  </si>
  <si>
    <r>
      <t xml:space="preserve">Технология приготовления: </t>
    </r>
    <r>
      <rPr>
        <sz val="10"/>
        <color theme="1"/>
        <rFont val="Times New Roman"/>
        <family val="1"/>
        <charset val="204"/>
      </rPr>
      <t>Очищенный картофель кладут в кипящую подсоленную воду и варят. Когда картофель свариться, сливают воду, а картофель подсушивают, для чего посуду с ним осталяют на 5 - 7 мин на менее горячем участке плиты. При варке рассыпчатого картофеля воду сливают примерно через 15 мин после момента закипания, затем картофель доводят до готовности паром, образующимся в котле. Варят картофель небольшими партиями по мере спроса. При продолжительном хранении в горячем состоянии у картофеля изменяется цвет, ухудшается вкус и снижается его пищевая ценность. Картофель, сваренный на пару, имеет лучшие вкусовые качества.</t>
    </r>
  </si>
  <si>
    <r>
      <t xml:space="preserve">Технология приготовления: </t>
    </r>
    <r>
      <rPr>
        <sz val="10"/>
        <color theme="1"/>
        <rFont val="Times New Roman"/>
        <family val="1"/>
        <charset val="204"/>
      </rPr>
      <t>Подготовленную рисовую крупу кладут в подсоленную кипящую воду (6 л воды, 60 г соли на 1 кг риса) и варят при слабом кипении. Когда зерна набухнут и станут мягкими, рис откидывают и промывают горячейкипяченой водой. После стекания воды рис кладут в посуду, заправляют маслом, перемешивают и прогревают.</t>
    </r>
  </si>
  <si>
    <t>Творог</t>
  </si>
  <si>
    <t>Крупа манная</t>
  </si>
  <si>
    <t>или мука пшеничная</t>
  </si>
  <si>
    <t>Масса готовности запеканки</t>
  </si>
  <si>
    <t>Молоко сгущенное</t>
  </si>
  <si>
    <t>1/20 шт.</t>
  </si>
  <si>
    <r>
      <t xml:space="preserve">Технология приготовления: </t>
    </r>
    <r>
      <rPr>
        <sz val="10"/>
        <color theme="1"/>
        <rFont val="Times New Roman"/>
        <family val="1"/>
        <charset val="204"/>
      </rPr>
      <t xml:space="preserve">Протертый творог смешивают с мукой или предварительно заваренной в воде (10 мл на порцию) и охлажденной манной крупой, яйцами, сахаром и солью. Подготовленную массу выкладывают слоем 3 - 4 мм на смазанный маслом и посыпанный сухарями противень или форму. Поверхность массы разравнивают, смазывают сметаной, запекают в жарочном шкафу 20 - 30 мин до образования на поверхности румяной корочки. Отпускают запеканку с молочным или сладким соусом, с молоком сгущенным или йогуртом.
</t>
    </r>
  </si>
  <si>
    <t>Виноград сушеный (изюм)</t>
  </si>
  <si>
    <t>Ванилин</t>
  </si>
  <si>
    <t>Масса готового пудинга</t>
  </si>
  <si>
    <r>
      <t xml:space="preserve">Технология приготовления: </t>
    </r>
    <r>
      <rPr>
        <sz val="10"/>
        <color theme="1"/>
        <rFont val="Times New Roman"/>
        <family val="1"/>
        <charset val="204"/>
      </rPr>
      <t xml:space="preserve">В горячей воде растворяют ванилин, затем всыпают манную крупу и, помешивая, заваривают. В протертый творог добавляют яичные желтки, растертые с сахаром, охлажденную заваренную манную крупу, размягченное сливочное масло, сль, подготовленный и обсушенный изюм. Массу тщательно перемешивают. Яйчные белки взбивают до образования густой пены и вводят в подготовленную массу перед запеканием. Полученную массу выкладывают на смазанный маслом и посыпанный сухарями противень (или в формы), смазывают сметаной и запекают в жарочном шкафу в течение 25 - 35 мин. Готовый пудинг выдерживают 5 - 10 мин и вынимаю из форм. Пудинг, запеченный на противне, не выкладывая, разрезают на порционные куски. Отпускают пудинг с молочным или сладким соусом, с молоком сгущенным, или йогуртом.
</t>
    </r>
  </si>
  <si>
    <t>Масса готовых сырников</t>
  </si>
  <si>
    <t>Соус № 326, № 330</t>
  </si>
  <si>
    <r>
      <t xml:space="preserve">Технология приготовления: </t>
    </r>
    <r>
      <rPr>
        <sz val="10"/>
        <color theme="1"/>
        <rFont val="Times New Roman"/>
        <family val="1"/>
        <charset val="204"/>
      </rPr>
      <t xml:space="preserve">Очищенную сырую морковь измельчают и припускают с маслом сливочным в небольшом количестве воды (10 % воды к массе нетто моркови). Затем свыпают манную крупу и, помешивая, нагревают до набухания. После охлаждения массу смешивают с протертым творогом, сырыми яйцами, сахаром, солью и частью муки (2/3 от всего количества). Из подготовленной массы формируют сырники, панируют их в муке и жарят. Отпускают сырники по 2 шт. на порцию с молочным или сметанным соусом.
</t>
    </r>
  </si>
  <si>
    <t>или меланж</t>
  </si>
  <si>
    <t>Масса омлетной смеси</t>
  </si>
  <si>
    <t>Масса готового омлета</t>
  </si>
  <si>
    <r>
      <t xml:space="preserve">Технология приготовления: </t>
    </r>
    <r>
      <rPr>
        <sz val="10"/>
        <color theme="1"/>
        <rFont val="Times New Roman"/>
        <family val="1"/>
        <charset val="204"/>
      </rPr>
      <t>К обработанным яйцам или меланжу добавляют молоко и соль. Смесь тщательно размешивают, выливают на смазанный противень и запекают в жарочном шкафу, высотой 2,5 - 3 см, полностью прожаривая.</t>
    </r>
  </si>
  <si>
    <t>Масса отварных макаронных изделий № 202</t>
  </si>
  <si>
    <r>
      <t xml:space="preserve">Технология приготовления: </t>
    </r>
    <r>
      <rPr>
        <sz val="10"/>
        <color theme="1"/>
        <rFont val="Times New Roman"/>
        <family val="1"/>
        <charset val="204"/>
      </rPr>
      <t>Макаронные изделия отваривают (рец. № 202). При отпуске поливают растопленным маслом.</t>
    </r>
  </si>
  <si>
    <t xml:space="preserve">Молоко </t>
  </si>
  <si>
    <t xml:space="preserve">Вода </t>
  </si>
  <si>
    <t>Масло растительное (для смазки противня)</t>
  </si>
  <si>
    <t>Сухари пшеничные</t>
  </si>
  <si>
    <r>
      <t xml:space="preserve">Технология приготовления: </t>
    </r>
    <r>
      <rPr>
        <sz val="10"/>
        <color theme="1"/>
        <rFont val="Times New Roman"/>
        <family val="1"/>
        <charset val="204"/>
      </rPr>
      <t xml:space="preserve">Готовую вязкую кашу охлаждают до 60 - 70 ˚С, добавляют в нее растертые с сахаром желтки, масло сливочное, перемешивают, вводят в массу взбитые в густую пену яичные белки. Подготовленную массу выкладывают на смазанный маслом и посыпанный сухарями противень, поверхность смазывают смесью яйца со сметаной и запекают. Отпускают пудинг с маслом, или соусом, или молоком сгущенным.
</t>
    </r>
  </si>
  <si>
    <t>Масса готовой запеканки</t>
  </si>
  <si>
    <r>
      <t xml:space="preserve">Наименование кулинарного изделия (блюда): </t>
    </r>
    <r>
      <rPr>
        <u/>
        <sz val="10"/>
        <color theme="1"/>
        <rFont val="Times New Roman"/>
        <family val="1"/>
        <charset val="204"/>
      </rPr>
      <t>Капуста тушеная</t>
    </r>
  </si>
  <si>
    <r>
      <t>Технология приготовления: В г</t>
    </r>
    <r>
      <rPr>
        <sz val="10"/>
        <color theme="1"/>
        <rFont val="Times New Roman"/>
        <family val="1"/>
        <charset val="204"/>
      </rPr>
      <t xml:space="preserve">отовую кашу, охлажденную до 60 - 70 ˚С, добавляют протертый творог, взбитые с сахаром яйца, ванилин, растворенный в небольшом количестве воды, и перемешивают. Подготовленную массу выкладывают на смазанный маслом и посыпанный сухарями противень, поверхность смазывают смесью яйца со сметаной и запекают. Подают запеканку с маслом, со сладкими соусами или молоком сгущенным.
</t>
    </r>
  </si>
  <si>
    <t>Масса каши</t>
  </si>
  <si>
    <r>
      <t xml:space="preserve">Технология приготовления: </t>
    </r>
    <r>
      <rPr>
        <sz val="10"/>
        <color theme="1"/>
        <rFont val="Times New Roman"/>
        <family val="1"/>
        <charset val="204"/>
      </rPr>
      <t>В кипящую жидкость (молоко с водой) добавляют соль, сахар и перемешивают. Затем тонкой струйкой всыпают подготовленную манную крупу при непрерывном помешивании и варят 20 мин. Кашу отпускают с сахаром и маслом, или с маслом.</t>
    </r>
  </si>
  <si>
    <t>Крупа пшено</t>
  </si>
  <si>
    <r>
      <t xml:space="preserve">Технология приготовления: </t>
    </r>
    <r>
      <rPr>
        <sz val="10"/>
        <color theme="1"/>
        <rFont val="Times New Roman"/>
        <family val="1"/>
        <charset val="204"/>
      </rPr>
      <t>В кипящую воду всыпают подготовленную рисовую крупу и варят, периодически помешивая, затем добавляют пшено, продолжают варку до полуготовности, после этого добавляют горячее молоко, соль, сахар, и продолжают варку до готовности. Горячую кашу отпускают с сахаром и маслом, или с маслом, или с сахаром.</t>
    </r>
  </si>
  <si>
    <r>
      <t xml:space="preserve">Технология приготовления: </t>
    </r>
    <r>
      <rPr>
        <sz val="10"/>
        <color theme="1"/>
        <rFont val="Times New Roman"/>
        <family val="1"/>
        <charset val="204"/>
      </rPr>
      <t>В кипящую воду всыпать подготовленную крупу и варят, периодически помешивая 20 мин. После этого добавляют горячее молоко, соль, сахар, и продолжают варку до готовности. Горячую кашу отпускают с сахаром и маслом, или с маслом, или с сахаром.</t>
    </r>
  </si>
  <si>
    <t>Крупа гречневая</t>
  </si>
  <si>
    <t>Химический состав, витамины и микроэлементы на 1 порцию (Крупа гречневая)</t>
  </si>
  <si>
    <t>Химический состав, витамины и микроэлементы на 1 порцию (Крупа перловая)</t>
  </si>
  <si>
    <r>
      <t xml:space="preserve">Технология приготовления: </t>
    </r>
    <r>
      <rPr>
        <sz val="10"/>
        <color theme="1"/>
        <rFont val="Times New Roman"/>
        <family val="1"/>
        <charset val="204"/>
      </rPr>
      <t xml:space="preserve">Подготовленную крупу всыпают в подсоленную кипящую жидкость. Всплывшие пустотелые зерна удаляют.  Кашу варят до загустения, помешивая. Когда каша сделается густой, перемешивание прекращают, закрывают котел крышкой и дают каше упреть около 2,5 ч. За это время она приобретает своеобразный приятный запах и цвет. При отпуске горячую рассыпчатую кашу кладут на тарелку и поливают растопленным маслом или посыпают сахаром. Молоко к каще отпускают в глубокой тарелке вместе с кашей  или подают отдельно в стакене. </t>
    </r>
  </si>
  <si>
    <r>
      <t xml:space="preserve">Наименование кулинарного изделия (блюда): </t>
    </r>
    <r>
      <rPr>
        <u/>
        <sz val="10"/>
        <color theme="1"/>
        <rFont val="Times New Roman"/>
        <family val="1"/>
        <charset val="204"/>
      </rPr>
      <t>Салат из свеклы с огурцами солеными</t>
    </r>
  </si>
  <si>
    <r>
      <t xml:space="preserve">Наименование кулинарного изделия (блюда): </t>
    </r>
    <r>
      <rPr>
        <u/>
        <sz val="10"/>
        <color theme="1"/>
        <rFont val="Times New Roman"/>
        <family val="1"/>
        <charset val="204"/>
      </rPr>
      <t>Винегрет овощной</t>
    </r>
  </si>
  <si>
    <r>
      <t xml:space="preserve">Наименование кулинарного изделия (блюда): </t>
    </r>
    <r>
      <rPr>
        <u/>
        <sz val="10"/>
        <color theme="1"/>
        <rFont val="Times New Roman"/>
        <family val="1"/>
        <charset val="204"/>
      </rPr>
      <t>Бобовые отварные</t>
    </r>
  </si>
  <si>
    <r>
      <t xml:space="preserve">Технология приготовления: </t>
    </r>
    <r>
      <rPr>
        <sz val="10"/>
        <color theme="1"/>
        <rFont val="Times New Roman"/>
        <family val="1"/>
        <charset val="204"/>
      </rPr>
      <t>Нарезанное широкими кусками мясо отбивают до толщины 5 - 8 мм и нарезают брусочками длиной 3 - 4 см массой по 5 - 7 г. Полученные кусочки кладут ровным тонким слоем на сковороду с маслом, разогретым до температуры 150 - 180 °С, посыпают солью и жарят, непрерывно помешивая, в течение 3 - 4 мин. Из пассерованной без жира муки и сметаны приготавивают соус. В соус кладут слегка пассерованный или припущенный лук, заливают им обжаренное мясо и доводят до кипения. Отпускают бефстроганов вместе с соусом и гарниром. Гарниры - картофель отварной, картофель жареный.</t>
    </r>
  </si>
  <si>
    <r>
      <t xml:space="preserve">Наименование кулинарного изделия (блюда): </t>
    </r>
    <r>
      <rPr>
        <u/>
        <sz val="10"/>
        <color theme="1"/>
        <rFont val="Times New Roman"/>
        <family val="1"/>
        <charset val="204"/>
      </rPr>
      <t>Тефтели 2-й вариант</t>
    </r>
  </si>
  <si>
    <r>
      <t xml:space="preserve">Технология приготовления: </t>
    </r>
    <r>
      <rPr>
        <sz val="10"/>
        <color theme="1"/>
        <rFont val="Times New Roman"/>
        <family val="1"/>
        <charset val="204"/>
      </rPr>
      <t xml:space="preserve">Печень жарят, а мясо обжаривают и тушат. Готовые продукты пропускают через мясорубку, добавляют слегка пассерованный или припущенный репчатый лук. Протертый картофель делят на две равные части. Одну часть кладут на смазанный маслом и посыпанный сухарями противень или сковороду, разравнивают, кладут фарш, а на него - оставшуюся часть картофеля. После разравнивания изделия посыпают сухарями и запекают. </t>
    </r>
  </si>
  <si>
    <t>Технологическая карта  кулинарного изделия (блюда) № 86</t>
  </si>
  <si>
    <r>
      <t xml:space="preserve">Номер рецептуры: </t>
    </r>
    <r>
      <rPr>
        <u/>
        <sz val="10"/>
        <color theme="1"/>
        <rFont val="Times New Roman"/>
        <family val="1"/>
        <charset val="204"/>
      </rPr>
      <t>406</t>
    </r>
  </si>
  <si>
    <r>
      <t xml:space="preserve">Номер рецептуры: </t>
    </r>
    <r>
      <rPr>
        <u/>
        <sz val="10"/>
        <color theme="1"/>
        <rFont val="Times New Roman"/>
        <family val="1"/>
        <charset val="204"/>
      </rPr>
      <t>410</t>
    </r>
  </si>
  <si>
    <r>
      <t xml:space="preserve">Номер рецептуры: </t>
    </r>
    <r>
      <rPr>
        <u/>
        <sz val="10"/>
        <color theme="1"/>
        <rFont val="Times New Roman"/>
        <family val="1"/>
        <charset val="204"/>
      </rPr>
      <t>414</t>
    </r>
  </si>
  <si>
    <r>
      <t xml:space="preserve">Наименование кулинарного изделия (блюда): </t>
    </r>
    <r>
      <rPr>
        <u/>
        <sz val="10"/>
        <color theme="1"/>
        <rFont val="Times New Roman"/>
        <family val="1"/>
        <charset val="204"/>
      </rPr>
      <t>Пирожки печеные из дрожжевого теста</t>
    </r>
  </si>
  <si>
    <t>Тесто дрожжевое № 405</t>
  </si>
  <si>
    <t>Мука на подпыл</t>
  </si>
  <si>
    <t>Фарши № 457 - 467, 470, 471</t>
  </si>
  <si>
    <t>или повидло, джем</t>
  </si>
  <si>
    <t>Жир для смазки листов</t>
  </si>
  <si>
    <t>Меланж для смазки пирожков</t>
  </si>
  <si>
    <t>Химический состав, витамины и микроэлементы на 1 порцию (с яблоком)</t>
  </si>
  <si>
    <t>Химический состав, витамины и микроэлементы на 1 порцию (с капустой)</t>
  </si>
  <si>
    <t>Химический состав, витамины и микроэлементы на 1 порцию (с картофелем)</t>
  </si>
  <si>
    <r>
      <t xml:space="preserve">Технология приготовления: </t>
    </r>
    <r>
      <rPr>
        <sz val="10"/>
        <color theme="1"/>
        <rFont val="Times New Roman"/>
        <family val="1"/>
        <charset val="204"/>
      </rPr>
      <t>Дрожжевое тесто приготовленное опарным способом, выкладывают на подпыленный мукой стол, отрезают от него кусок массой 1 - 1,5 кг, затывают его в жгут и делят на куски по 58 г. Затем куски формируют в шарики, дают им расстояться 5 - 6 мин и расскатывают на круглые лепешки толщиной 0,5 - 1 см. На середину каждой лепешки кладут фарш, защипывают края, придавая форму лодочки. Сформированные пирожки укладывают швом вниз на кондитерский лист, предварительно смазанный растительм маслом, для расстойки. За 5 - 10 мин перед выпечкой изделия смазывают яйцом. Пирожки выпекают при температуре 200 - 240 ˚С 8 - 10 мин.</t>
    </r>
  </si>
  <si>
    <t>Технологическая карта  кулинарного изделия (блюда) № 87</t>
  </si>
  <si>
    <r>
      <t xml:space="preserve">Наименование кулинарногоизделия (блюда): </t>
    </r>
    <r>
      <rPr>
        <u/>
        <sz val="10"/>
        <color theme="1"/>
        <rFont val="Times New Roman"/>
        <family val="1"/>
        <charset val="204"/>
      </rPr>
      <t>Ватрушки</t>
    </r>
  </si>
  <si>
    <t>Фарш № 468, № 472</t>
  </si>
  <si>
    <t>или повидло</t>
  </si>
  <si>
    <t>Меланж для смазки ватрушек</t>
  </si>
  <si>
    <t>Химический состав, витамины и микроэлементы на 1 порцию (с повидлом)</t>
  </si>
  <si>
    <t>Химический состав, витамины и микроэлементы на 1 порцию (с творогом)</t>
  </si>
  <si>
    <r>
      <t xml:space="preserve">Технология приготовления: </t>
    </r>
    <r>
      <rPr>
        <sz val="10"/>
        <color theme="1"/>
        <rFont val="Times New Roman"/>
        <family val="1"/>
        <charset val="204"/>
      </rPr>
      <t xml:space="preserve">Дрожжевое тесто для ватрушек готовят опарным способом. Из теста разделывают булочки круглой формы массой 58 г, укладывают на противень смазанный маслом, дают неполную расстойку, а затем деоевянным пестиком диаметром 5 см делают в них углубление, которое заполняют начинкой по 30 г. После полной расстойки втрушки смазывают яйцом и выпекают при температуре 230 - 240 ˚С 8 - 10 мин. При приготовлении ватрушек с повидлом яйцом смазывают только края темста, однако это следует сделать до заполнения лепешек повидлом. </t>
    </r>
  </si>
  <si>
    <r>
      <t xml:space="preserve">Наименование кулинарного изделия (блюда): </t>
    </r>
    <r>
      <rPr>
        <u/>
        <sz val="10"/>
        <color theme="1"/>
        <rFont val="Times New Roman"/>
        <family val="1"/>
        <charset val="204"/>
      </rPr>
      <t>Пирог открытый</t>
    </r>
  </si>
  <si>
    <t>Технологическая карта  кулинарногоизделия (блюда) № 88</t>
  </si>
  <si>
    <t>Яйца или меланж</t>
  </si>
  <si>
    <t>Дрожжи</t>
  </si>
  <si>
    <t>Вода для замеса теста</t>
  </si>
  <si>
    <t>Масса теста</t>
  </si>
  <si>
    <t>Повидло или джем</t>
  </si>
  <si>
    <t>Масло растительное для смазки листов</t>
  </si>
  <si>
    <t>Яйца для смазки пирога</t>
  </si>
  <si>
    <t>5/7 шт.</t>
  </si>
  <si>
    <t>1/16 шт.</t>
  </si>
  <si>
    <r>
      <t xml:space="preserve">Технология приготовления: </t>
    </r>
    <r>
      <rPr>
        <sz val="10"/>
        <color theme="1"/>
        <rFont val="Times New Roman"/>
        <family val="1"/>
        <charset val="204"/>
      </rPr>
      <t>Дрожжевое тесто приготовленное опарным или безопарным способом, раскатывают в пласт толщиной в 1 см, кладут на смазанный растительным маслом лист и выравнивают. Поверхность пласта покрывают ровным слоем повидла или джема, подогретых до температуры 30 ˚С. Края теста загибают на 1,5 - 2 см. Из уских полосок теста делают поверх начинки решетку. Сформированным пирогам дают расстояться, после чего смазывают поверхность теста яйцом и выпекают при температуре 220 - 250 ˚С 10 - 15 мин. Охлажденные пироги разделывают на порциональные куски массой 50 - 75 г.</t>
    </r>
  </si>
  <si>
    <r>
      <t xml:space="preserve">Номер рецептуры: </t>
    </r>
    <r>
      <rPr>
        <u/>
        <sz val="10"/>
        <color theme="1"/>
        <rFont val="Times New Roman"/>
        <family val="1"/>
        <charset val="204"/>
      </rPr>
      <t>418</t>
    </r>
  </si>
  <si>
    <r>
      <t xml:space="preserve">Номер рецептуры: </t>
    </r>
    <r>
      <rPr>
        <u/>
        <sz val="10"/>
        <color theme="1"/>
        <rFont val="Times New Roman"/>
        <family val="1"/>
        <charset val="204"/>
      </rPr>
      <t>419</t>
    </r>
  </si>
  <si>
    <t>Технологическая карта  кулинарного изделия (блюда) № 89</t>
  </si>
  <si>
    <t>Технологическая карта  кулинарного изделия (блюда) № 90</t>
  </si>
  <si>
    <r>
      <t xml:space="preserve">Наименование кулинарного изделия (блюда): </t>
    </r>
    <r>
      <rPr>
        <u/>
        <sz val="10"/>
        <color theme="1"/>
        <rFont val="Times New Roman"/>
        <family val="1"/>
        <charset val="204"/>
      </rPr>
      <t>Слойка с повидлом</t>
    </r>
  </si>
  <si>
    <r>
      <t xml:space="preserve">Наименование кулинарного изделия (блюда): </t>
    </r>
    <r>
      <rPr>
        <u/>
        <sz val="10"/>
        <color theme="1"/>
        <rFont val="Times New Roman"/>
        <family val="1"/>
        <charset val="204"/>
      </rPr>
      <t>Пирожки песочные с яблоками</t>
    </r>
  </si>
  <si>
    <t>Мука пшеничная высший сорт</t>
  </si>
  <si>
    <t>Маргарин столовый</t>
  </si>
  <si>
    <t>Дрожжи (пресованные)</t>
  </si>
  <si>
    <t>Масса повидла</t>
  </si>
  <si>
    <t>12,25 шт.</t>
  </si>
  <si>
    <t>100 шт. по 75 г</t>
  </si>
  <si>
    <r>
      <t xml:space="preserve">Технология приготовления: </t>
    </r>
    <r>
      <rPr>
        <sz val="10"/>
        <color theme="1"/>
        <rFont val="Times New Roman"/>
        <family val="1"/>
        <charset val="204"/>
      </rPr>
      <t>Тесто приготавливают опарным способом. Слойку с повидлом выпекают из дрожжевого слоеного теста, приготовленного опарным способом. Для слоения тесто после брожения выкладывают на стол кусками 2 - 3 кг и раскатывают в прямоугольные пласты толщиной 2 см. Сливочное масло размягчют, проминая его скалкой, делят на равные части (по количеству кусков теста). посыпают мукой и раскатывают так же, как тесто, в прямоугольный пласт. Размер пласта сливочного масла должен быть несколько меньше размера пласта теста. Пласт сливочного масла кладут на пласт теста, завертывают в форме конверта и снова раскатывают в пласт толщиной 1 см. С раскатанного пласта сметают муку, складывают втрое и оставляют на 20 - 30 мин в прохладном месте для охлаждения. После двукратной раскатки и охлаждения тесто снова раскатывают в пласт толщиной 10 - 12 мм. На середину выпускают повидло из кондитерского мешка. Один край смазывают яйцом и завертывают в жгут, который разрезают поперек на порционные куски. Булочки укладывают на смазанный иром лист и оставляют для расстойки, после этого их смазывают яйцом и выпекают.</t>
    </r>
  </si>
  <si>
    <t>Мука пшеничная высший сорт на подпыл</t>
  </si>
  <si>
    <t>Сахар - песок</t>
  </si>
  <si>
    <t>Маргарин</t>
  </si>
  <si>
    <t>Меланж</t>
  </si>
  <si>
    <t>Творог 18 % - ной жирности</t>
  </si>
  <si>
    <t>Натрий двууглекислый</t>
  </si>
  <si>
    <t>1/8 шт.</t>
  </si>
  <si>
    <t>10,,30</t>
  </si>
  <si>
    <r>
      <t>Технология приготовления:</t>
    </r>
    <r>
      <rPr>
        <sz val="10"/>
        <color theme="1"/>
        <rFont val="Times New Roman"/>
        <family val="1"/>
        <charset val="204"/>
      </rPr>
      <t xml:space="preserve"> Размягченный маргарин взбивают с сахаром - песком до полного его растворения, добавляют меланж и творог, растворенные разрыхлители, а зкатем всыпают муку и замешивают тесто в течение 1 - 4 мин.  Из теста раскатывают пласт толщиной 3 - 5 мм и круглой выемкой вырезают лепешки - по две штуки на изделие. На нижнюю лепешку кладут фарш, края смазывают льезоном, закрывают сверху второй лепешкой и прижимают друг к другу, сверху смазывают льезоном. Пирожки укладывают на смазанные жиром листы, выпекают при температуре 220 - 240 ˚С в течение 10 - 12 мин.</t>
    </r>
  </si>
  <si>
    <t>Технологическая карта  кулинарного изделия (блюда) № 91</t>
  </si>
  <si>
    <t>Технологическая карта  кулинарного изделия (блюда) № 92</t>
  </si>
  <si>
    <t>Технологическая карта  кулинарногоизделия (блюда) № 93</t>
  </si>
  <si>
    <t>Технологическая карта  кулинарного изделия (блюда) № 94</t>
  </si>
  <si>
    <t>Технологическая карта  кулинарного изделия (блюда) № 95</t>
  </si>
  <si>
    <r>
      <t xml:space="preserve">Номер рецептуры: </t>
    </r>
    <r>
      <rPr>
        <u/>
        <sz val="10"/>
        <color theme="1"/>
        <rFont val="Times New Roman"/>
        <family val="1"/>
        <charset val="204"/>
      </rPr>
      <t>424</t>
    </r>
  </si>
  <si>
    <r>
      <t xml:space="preserve">Номер рецептуры: </t>
    </r>
    <r>
      <rPr>
        <u/>
        <sz val="10"/>
        <color theme="1"/>
        <rFont val="Times New Roman"/>
        <family val="1"/>
        <charset val="204"/>
      </rPr>
      <t>425</t>
    </r>
  </si>
  <si>
    <r>
      <t xml:space="preserve">Номер рецептуры: </t>
    </r>
    <r>
      <rPr>
        <u/>
        <sz val="10"/>
        <color theme="1"/>
        <rFont val="Times New Roman"/>
        <family val="1"/>
        <charset val="204"/>
      </rPr>
      <t>426</t>
    </r>
  </si>
  <si>
    <r>
      <t xml:space="preserve">Номер рецептуры: </t>
    </r>
    <r>
      <rPr>
        <u/>
        <sz val="10"/>
        <color theme="1"/>
        <rFont val="Times New Roman"/>
        <family val="1"/>
        <charset val="204"/>
      </rPr>
      <t>429</t>
    </r>
  </si>
  <si>
    <r>
      <t xml:space="preserve">Номер рецептуры: </t>
    </r>
    <r>
      <rPr>
        <u/>
        <sz val="10"/>
        <color theme="1"/>
        <rFont val="Times New Roman"/>
        <family val="1"/>
        <charset val="204"/>
      </rPr>
      <t>431</t>
    </r>
  </si>
  <si>
    <r>
      <t xml:space="preserve">Наименование кулинарного изделия (блюда): </t>
    </r>
    <r>
      <rPr>
        <u/>
        <sz val="10"/>
        <color theme="1"/>
        <rFont val="Times New Roman"/>
        <family val="1"/>
        <charset val="204"/>
      </rPr>
      <t>Булочка домашняя</t>
    </r>
  </si>
  <si>
    <t>Сахар - песок (для отделки)</t>
  </si>
  <si>
    <t>Меланж (для смазки)</t>
  </si>
  <si>
    <t>Дрожжи пресованные</t>
  </si>
  <si>
    <t>Итого сырья</t>
  </si>
  <si>
    <r>
      <t>Технология приготовления:</t>
    </r>
    <r>
      <rPr>
        <sz val="10"/>
        <color theme="1"/>
        <rFont val="Times New Roman"/>
        <family val="1"/>
        <charset val="204"/>
      </rPr>
      <t xml:space="preserve"> Приготавливают и выпекают булочку домашнюю из дрожжевого теста так же, как булочку ванильную (рец. № 422), но поверхность перед выпечкой посыпают сахаром - песком.</t>
    </r>
  </si>
  <si>
    <t>Технологическая карта  кулинарного изделия (блюда) № 96</t>
  </si>
  <si>
    <t>Технологическая карта  кулинарного изделия (блюда) № 97</t>
  </si>
  <si>
    <t>Технологическая карта  кулинарногоизделия (блюда) № 98</t>
  </si>
  <si>
    <t>Технологическая карта  кулинарного изделия (блюда) № 99</t>
  </si>
  <si>
    <t>Технологическая карта  кулинарного изделия (блюда) № 100</t>
  </si>
  <si>
    <r>
      <t xml:space="preserve">Номер рецептуры: </t>
    </r>
    <r>
      <rPr>
        <u/>
        <sz val="10"/>
        <color theme="1"/>
        <rFont val="Times New Roman"/>
        <family val="1"/>
        <charset val="204"/>
      </rPr>
      <t>434</t>
    </r>
  </si>
  <si>
    <r>
      <t xml:space="preserve">Номер рецептуры: </t>
    </r>
    <r>
      <rPr>
        <u/>
        <sz val="10"/>
        <color theme="1"/>
        <rFont val="Times New Roman"/>
        <family val="1"/>
        <charset val="204"/>
      </rPr>
      <t>446</t>
    </r>
  </si>
  <si>
    <r>
      <t xml:space="preserve">Номер рецептуры: </t>
    </r>
    <r>
      <rPr>
        <u/>
        <sz val="10"/>
        <color theme="1"/>
        <rFont val="Times New Roman"/>
        <family val="1"/>
        <charset val="204"/>
      </rPr>
      <t>447</t>
    </r>
  </si>
  <si>
    <r>
      <t xml:space="preserve">Номер рецептуры: </t>
    </r>
    <r>
      <rPr>
        <u/>
        <sz val="10"/>
        <color theme="1"/>
        <rFont val="Times New Roman"/>
        <family val="1"/>
        <charset val="204"/>
      </rPr>
      <t>450</t>
    </r>
  </si>
  <si>
    <r>
      <t xml:space="preserve">Номер рецептуры: </t>
    </r>
    <r>
      <rPr>
        <u/>
        <sz val="10"/>
        <color theme="1"/>
        <rFont val="Times New Roman"/>
        <family val="1"/>
        <charset val="204"/>
      </rPr>
      <t>456</t>
    </r>
  </si>
  <si>
    <r>
      <t xml:space="preserve">Наименование кулинарногоизделия (блюда): </t>
    </r>
    <r>
      <rPr>
        <u/>
        <sz val="10"/>
        <color theme="1"/>
        <rFont val="Times New Roman"/>
        <family val="1"/>
        <charset val="204"/>
      </rPr>
      <t>Кекс "Столичный"</t>
    </r>
  </si>
  <si>
    <r>
      <t xml:space="preserve">Наименование кулинарного изделия (блюда): </t>
    </r>
    <r>
      <rPr>
        <u/>
        <sz val="10"/>
        <color theme="1"/>
        <rFont val="Times New Roman"/>
        <family val="1"/>
        <charset val="204"/>
      </rPr>
      <t>Кекс "Творожный"</t>
    </r>
  </si>
  <si>
    <r>
      <t xml:space="preserve">Наименование кулинарного изделия (блюда): </t>
    </r>
    <r>
      <rPr>
        <u/>
        <sz val="10"/>
        <color theme="1"/>
        <rFont val="Times New Roman"/>
        <family val="1"/>
        <charset val="204"/>
      </rPr>
      <t>Песочник с изюмом</t>
    </r>
  </si>
  <si>
    <r>
      <t xml:space="preserve">Наименование кулинарного изделия (блюда): </t>
    </r>
    <r>
      <rPr>
        <u/>
        <sz val="10"/>
        <color theme="1"/>
        <rFont val="Times New Roman"/>
        <family val="1"/>
        <charset val="204"/>
      </rPr>
      <t>Коржики молочные</t>
    </r>
  </si>
  <si>
    <t>50</t>
  </si>
  <si>
    <r>
      <t>Технология приготовления:</t>
    </r>
    <r>
      <rPr>
        <sz val="10"/>
        <color theme="1"/>
        <rFont val="Times New Roman"/>
        <family val="1"/>
        <charset val="204"/>
      </rPr>
      <t xml:space="preserve"> Из дрожжевого теста (рец. № 405) с влажностью 40 % формируют шарики массой 58 г, кладут их швом вниз на смазанные жиром листы и ставят в теплое место для расстойки на 20 - 25 мин. Перед выпечкой на поверхности делают три - четыре косых надреза. Выпекают 10 - 12 мин при температуре 230 - 240 ˚С.</t>
    </r>
  </si>
  <si>
    <t>Мука пшеничная 1-го сорта</t>
  </si>
  <si>
    <r>
      <t xml:space="preserve">Наименование кулинарногоизделия (блюда): </t>
    </r>
    <r>
      <rPr>
        <u/>
        <sz val="10"/>
        <color theme="1"/>
        <rFont val="Times New Roman"/>
        <family val="1"/>
        <charset val="204"/>
      </rPr>
      <t>Булочка дорожная</t>
    </r>
  </si>
  <si>
    <t>Мука пшеничная 1-го сорта (на подпыл)</t>
  </si>
  <si>
    <t>Маргарин (для смазки)</t>
  </si>
  <si>
    <t>100</t>
  </si>
  <si>
    <r>
      <t xml:space="preserve">Технология приготовления: </t>
    </r>
    <r>
      <rPr>
        <sz val="10"/>
        <color theme="1"/>
        <rFont val="Times New Roman"/>
        <family val="1"/>
        <charset val="204"/>
      </rPr>
      <t>Дрожжевое тесто (рец. № 405) разделывают на куски, придавая им овальную форму, делают на поверхности 3 - 4 поперечных надреза, укладывают на смазанные жиром листы и ставят в теплое место для расстойки на 30 - 40 мин. Затем смазывают жиром и посыпают крошкой. Выпекают 10 - 12 мин при температуре 230 - 240 ˚С. Для приготовления крошки муку и жир тщательно перемешивают и протирают через сито.</t>
    </r>
  </si>
  <si>
    <r>
      <t xml:space="preserve">Наименование кулинарного изделия (блюда): </t>
    </r>
    <r>
      <rPr>
        <u/>
        <sz val="10"/>
        <color theme="1"/>
        <rFont val="Times New Roman"/>
        <family val="1"/>
        <charset val="204"/>
      </rPr>
      <t>Булочка с повидлом обсыпная</t>
    </r>
  </si>
  <si>
    <r>
      <t xml:space="preserve">Технология приготовления: </t>
    </r>
    <r>
      <rPr>
        <sz val="10"/>
        <color theme="1"/>
        <rFont val="Times New Roman"/>
        <family val="1"/>
        <charset val="204"/>
      </rPr>
      <t>Дрожжевое тесто (рец. № 405) разделывают на куски, придавая им овальную форму, делают на поверхности углубление, которое заполняют повидлом, укладывают на смазанные жиром листы и ставят в теплое место для расстойки на 30 - 40 мин. Затем смазывают жиром и посыпают крошкой. Выпекают 10 - 12 мин при температуре 230 - 240 ˚С. Для приготовления крошки муку и жир тщательно перемешивают и протирают через сито.</t>
    </r>
  </si>
  <si>
    <r>
      <t xml:space="preserve">Наименование кулинарного изделия (блюда): </t>
    </r>
    <r>
      <rPr>
        <u/>
        <sz val="10"/>
        <color theme="1"/>
        <rFont val="Times New Roman"/>
        <family val="1"/>
        <charset val="204"/>
      </rPr>
      <t>Булочка "Веснушка"</t>
    </r>
  </si>
  <si>
    <t xml:space="preserve"> </t>
  </si>
  <si>
    <t xml:space="preserve">Меланж </t>
  </si>
  <si>
    <r>
      <t xml:space="preserve">Технология приготовления: </t>
    </r>
    <r>
      <rPr>
        <sz val="10"/>
        <color theme="1"/>
        <rFont val="Times New Roman"/>
        <family val="1"/>
        <charset val="204"/>
      </rPr>
      <t xml:space="preserve">Из дрожжевого теста (рец. № 405) с изюмом формируют шарики, кладут их в  формы или на листы, смазанные жиром, на расстоянии не более 10 мм друг от друга и ставят в теплое место для расстойки на 60 - 80 мин. Поверхность смазывают меланжем. Выпекают при температуре 185 - 215 ˚С в течение 30 - 40 мин. </t>
    </r>
  </si>
  <si>
    <r>
      <t xml:space="preserve">Наименование кулинарного изделия (блюда): </t>
    </r>
    <r>
      <rPr>
        <u/>
        <sz val="10"/>
        <color theme="1"/>
        <rFont val="Times New Roman"/>
        <family val="1"/>
        <charset val="204"/>
      </rPr>
      <t>Булочка "Розовая"</t>
    </r>
  </si>
  <si>
    <t>Масса свеклы отварной протертой</t>
  </si>
  <si>
    <t>Яйца (для смазки)</t>
  </si>
  <si>
    <t>60</t>
  </si>
  <si>
    <r>
      <t>Технология приготовления:</t>
    </r>
    <r>
      <rPr>
        <sz val="10"/>
        <color theme="1"/>
        <rFont val="Times New Roman"/>
        <family val="1"/>
        <charset val="204"/>
      </rPr>
      <t xml:space="preserve"> Дрожжевое тесто готовят опарным способом (рец. № 405) с добавлением отварной протертой свеклы. Из готового теста влажностью 40 % формируют шарики массой 68 г и оставляют для расстойки на 40 - 50 мин. Перед выпечкой поверхность изделий смазывают яйцом. Выпекают при температуре 230 - 240 ˚С в течение 10 - 12 мин. Готовые изделия можно посыпать рафинадной пудрой из расчета 2 г на 1 шт.</t>
    </r>
  </si>
  <si>
    <t>Пудра рафинадная</t>
  </si>
  <si>
    <t>Эссенция</t>
  </si>
  <si>
    <t>Амоний углекислый</t>
  </si>
  <si>
    <t>0,82</t>
  </si>
  <si>
    <t>0,052</t>
  </si>
  <si>
    <r>
      <t>Технология приготовления:</t>
    </r>
    <r>
      <rPr>
        <sz val="10"/>
        <color theme="1"/>
        <rFont val="Times New Roman"/>
        <family val="1"/>
        <charset val="204"/>
      </rPr>
      <t xml:space="preserve"> Размягченное сливочное масло взбивают в течение  7 - 10 мин, кладут сахар - песок и взбивают еще 5 - 7 мин, постепенно вливая меланж. К взбитой массе добавляют подготовленный изюм эссенцию, аммоний и соль, тщательно перемешивают, добавляют муку и замешивают тесто. Тесто раскладывают в формы, предварительно смазанные маслом или выставленные бумагой, и выпекают при температуре 205 - 215 ˚С в течение 25 - 30 минут. Выпеченные и охлажденные кексы посыпают рафинадной пудрой.</t>
    </r>
  </si>
  <si>
    <r>
      <t>Технология приготовления:</t>
    </r>
    <r>
      <rPr>
        <sz val="10"/>
        <color theme="1"/>
        <rFont val="Times New Roman"/>
        <family val="1"/>
        <charset val="204"/>
      </rPr>
      <t xml:space="preserve"> Размягченное сливочное масло и сахар - песок взбивают в течение 10 - 15 мин, добавляют творог и взбивают до получения однородной массы. Затем добавляют меланж, соду, аммоний, тщательно перемешивают, добавляют муку и замешивают тесто в течение 3 - 5 мин. Тесто раскладывают в подготовленные формы и выпекают при температуре 160 - 185 ˚С в течение 55 - 60 минут. Выпеченные и охлажденные кексы посыпают рафинадной пудрой.</t>
    </r>
  </si>
  <si>
    <t>Маргарин сливочный</t>
  </si>
  <si>
    <t>Орехи ядро</t>
  </si>
  <si>
    <t>Маргарин для смазки листов</t>
  </si>
  <si>
    <r>
      <t xml:space="preserve">Технология приготовления: </t>
    </r>
    <r>
      <rPr>
        <sz val="10"/>
        <color theme="1"/>
        <rFont val="Times New Roman"/>
        <family val="1"/>
        <charset val="204"/>
      </rPr>
      <t>Размягченный сливочный маргарин и сахар - песок взбивают в течение 10 - 15 минут, затем добавляют меланж, соду, аммоний, изюм, тщательно перемешивают до получения однородной массы, добавляют муку и замешивают тесто в течение 3 - 5 минут. Влажность готового теста 25 %. Тесто раскатывают и вырезают изделия овальной формы, сверху смазывают меланжем и посыпают рубленными орехами, выпекают при температуре 220 - 230 ˚С в течение 10 - 15 минут.</t>
    </r>
  </si>
  <si>
    <t xml:space="preserve">Меланж для смазки </t>
  </si>
  <si>
    <t>75</t>
  </si>
  <si>
    <r>
      <t>Технология приготовления:</t>
    </r>
    <r>
      <rPr>
        <sz val="10"/>
        <color theme="1"/>
        <rFont val="Times New Roman"/>
        <family val="1"/>
        <charset val="204"/>
      </rPr>
      <t xml:space="preserve"> Размягченный маргарин взбивают с сахаром - песком до полного его растворения, добавляют меланж и молокр, растворенные разрыхлители и ванилин, а зкатем всыпают муку и замешивают тесто в течение 1 - 4 мин.  Влажность готового теста 20 %. .Приготовленное тесто раскатывают в виде пласта толщиной 6 - 7 мм, наносят рисунок рифленой скалкой, вырезают изделия круглой формы диаметром 95 мм, укладывают на листы, смазывают меланжем и выпекают при температуре 200 - 220 ˚С в течение 10 - 12 минут.</t>
    </r>
  </si>
  <si>
    <t>Технологическая карта  кулинарного изделия (блюда) № 101</t>
  </si>
  <si>
    <t>Технологическая карта  кулинарного изделия (блюда) № 102</t>
  </si>
  <si>
    <r>
      <t xml:space="preserve">Номер рецептуры: </t>
    </r>
    <r>
      <rPr>
        <u/>
        <sz val="10"/>
        <color theme="1"/>
        <rFont val="Times New Roman"/>
        <family val="1"/>
        <charset val="204"/>
      </rPr>
      <t>342</t>
    </r>
  </si>
  <si>
    <r>
      <t xml:space="preserve">Номер рецептуры: </t>
    </r>
    <r>
      <rPr>
        <u/>
        <sz val="10"/>
        <color theme="1"/>
        <rFont val="Times New Roman"/>
        <family val="1"/>
        <charset val="204"/>
      </rPr>
      <t>348</t>
    </r>
  </si>
  <si>
    <t>Технологическая карта  кулинарногоизделия (блюда) № 103</t>
  </si>
  <si>
    <r>
      <t xml:space="preserve">Номер рецептуры: </t>
    </r>
    <r>
      <rPr>
        <u/>
        <sz val="10"/>
        <color theme="1"/>
        <rFont val="Times New Roman"/>
        <family val="1"/>
        <charset val="204"/>
      </rPr>
      <t>349</t>
    </r>
  </si>
  <si>
    <r>
      <t xml:space="preserve">Наименование кулинарного изделия (блюда): </t>
    </r>
    <r>
      <rPr>
        <u/>
        <sz val="10"/>
        <color theme="1"/>
        <rFont val="Times New Roman"/>
        <family val="1"/>
        <charset val="204"/>
      </rPr>
      <t>Компот из смеси сухафруктов</t>
    </r>
  </si>
  <si>
    <t>Технологическая карта  кулинарного изделия (блюда) № 104</t>
  </si>
  <si>
    <r>
      <t xml:space="preserve">Номер рецептуры: </t>
    </r>
    <r>
      <rPr>
        <u/>
        <sz val="10"/>
        <color theme="1"/>
        <rFont val="Times New Roman"/>
        <family val="1"/>
        <charset val="204"/>
      </rPr>
      <t>350</t>
    </r>
  </si>
  <si>
    <r>
      <t xml:space="preserve">Наименование кулинарного изделия (блюда): </t>
    </r>
    <r>
      <rPr>
        <u/>
        <sz val="10"/>
        <color theme="1"/>
        <rFont val="Times New Roman"/>
        <family val="1"/>
        <charset val="204"/>
      </rPr>
      <t>Кисель из плодов или ягод свежих</t>
    </r>
  </si>
  <si>
    <t>Технологическая карта  кулинарного изделия (блюда) № 105</t>
  </si>
  <si>
    <r>
      <t xml:space="preserve">Номер рецептуры: </t>
    </r>
    <r>
      <rPr>
        <u/>
        <sz val="10"/>
        <color theme="1"/>
        <rFont val="Times New Roman"/>
        <family val="1"/>
        <charset val="204"/>
      </rPr>
      <t>376</t>
    </r>
  </si>
  <si>
    <t xml:space="preserve">Яблоки </t>
  </si>
  <si>
    <r>
      <t xml:space="preserve">Технология приготовления: </t>
    </r>
    <r>
      <rPr>
        <sz val="10"/>
        <color theme="1"/>
        <rFont val="Times New Roman"/>
        <family val="1"/>
        <charset val="204"/>
      </rPr>
      <t xml:space="preserve">Яблоки моют, удаляют семенные гнезда, нарезают дольками. Чтобы плоды не темнели их погружают до варки в холодную воду, слегка подкисленную лимонной кислотой. Сироп приготавливают следующим образом: в горячей воде растворяют сахар, добавляют кислоту лимонную, доводят до кипения, проваривают 10 - 12 мин и процеживают. В подготовленный горячий сироп погружают плоды. Яблоки варят на слабом огне не более 6 - 8 мин. </t>
    </r>
  </si>
  <si>
    <r>
      <t xml:space="preserve">Технология приготовления: </t>
    </r>
    <r>
      <rPr>
        <sz val="10"/>
        <color theme="1"/>
        <rFont val="Times New Roman"/>
        <family val="1"/>
        <charset val="204"/>
      </rPr>
      <t>Подготовленные сушеные плоды заливают горячей водой, нагревают до кипения, всыпают сахар, добавляют лимонную кислоту и варят до готовности 5 - 10 мин. Компот готовят накануне, для того чтобы он настоялся.</t>
    </r>
  </si>
  <si>
    <t>Яблоки, груши, чернослив, урюк, курага, изюм</t>
  </si>
  <si>
    <r>
      <t xml:space="preserve">Технология приготовления: </t>
    </r>
    <r>
      <rPr>
        <sz val="10"/>
        <color theme="1"/>
        <rFont val="Times New Roman"/>
        <family val="1"/>
        <charset val="204"/>
      </rPr>
      <t>Подготовленные сухофрукты заливают горячей водой, нагревают до кипения, всыпают сахар, добавляют лимонную кислоту и варят до готовности. Компот готовят накануне, для того чтобы он настоялся.</t>
    </r>
  </si>
  <si>
    <t>Клюква</t>
  </si>
  <si>
    <t>или брусника</t>
  </si>
  <si>
    <t>Крахлам картофельный</t>
  </si>
  <si>
    <r>
      <t xml:space="preserve">Технология приготовления: </t>
    </r>
    <r>
      <rPr>
        <sz val="10"/>
        <color theme="1"/>
        <rFont val="Times New Roman"/>
        <family val="1"/>
        <charset val="204"/>
      </rPr>
      <t>Клюкву, бруснику перебирают, удаляют плодоножки и моют, у вишни удаляют косточки. Плоды и ягоды протирают. Сок отжимают и процеживают. Мезгу заливают горячей водой (на 1 часть мезги 5 - 6 частей воды), проваривают при слабом кипении 10 - 15 мин и процеживают. В полученный отвар добавляют сахар, доводят до кипения и при помешивании сразу вливают подготовленный крахмал, вновь доводят до кипения и добавляют отжатый сок. Крахмал присоединяют следующим способом: его разводят охлажденным отваром (на 1 часть крахмала 5 частей отвара) и процеживают.  Готовый кисель отпускают в стаканах.</t>
    </r>
  </si>
  <si>
    <t>Чай - заварка № 375</t>
  </si>
  <si>
    <r>
      <t>Технология приготовления:</t>
    </r>
    <r>
      <rPr>
        <sz val="10"/>
        <color theme="1"/>
        <rFont val="Times New Roman"/>
        <family val="1"/>
        <charset val="204"/>
      </rPr>
      <t xml:space="preserve"> В стакан или чашку наливают заварку чая и доливают ктпятком . Сахар кладут в стакан или чашку, лиюо подают отдельно. </t>
    </r>
  </si>
  <si>
    <t>Технологическая карта  кулинарного изделия (блюда) № 106</t>
  </si>
  <si>
    <t>Технологическая карта  кулинарного изделия (блюда) № 107</t>
  </si>
  <si>
    <t>Технологическая карта  кулинарногоизделия (блюда) № 108</t>
  </si>
  <si>
    <t>Технологическая карта  кулинарного изделия (блюда) № 109</t>
  </si>
  <si>
    <t>Технологическая карта  кулинарного изделия (блюда) № 110</t>
  </si>
  <si>
    <r>
      <t xml:space="preserve">Номер рецептуры: </t>
    </r>
    <r>
      <rPr>
        <u/>
        <sz val="10"/>
        <color theme="1"/>
        <rFont val="Times New Roman"/>
        <family val="1"/>
        <charset val="204"/>
      </rPr>
      <t>377</t>
    </r>
  </si>
  <si>
    <r>
      <t xml:space="preserve">Номер рецептуры: </t>
    </r>
    <r>
      <rPr>
        <u/>
        <sz val="10"/>
        <color theme="1"/>
        <rFont val="Times New Roman"/>
        <family val="1"/>
        <charset val="204"/>
      </rPr>
      <t>378</t>
    </r>
  </si>
  <si>
    <r>
      <t xml:space="preserve">Наименование кулинарного изделия (блюда): </t>
    </r>
    <r>
      <rPr>
        <u/>
        <sz val="10"/>
        <color theme="1"/>
        <rFont val="Times New Roman"/>
        <family val="1"/>
        <charset val="204"/>
      </rPr>
      <t>Чай с лимоном</t>
    </r>
  </si>
  <si>
    <t>Лимон свежий</t>
  </si>
  <si>
    <r>
      <t>Технология приготовления:</t>
    </r>
    <r>
      <rPr>
        <sz val="10"/>
        <color theme="1"/>
        <rFont val="Times New Roman"/>
        <family val="1"/>
        <charset val="204"/>
      </rPr>
      <t xml:space="preserve"> Предварительно промытый теплой водой лимон, ошпаривают кипятком в течение 1 - 2 мин. Лимон нарезают тонкими кружочками и кладут в стакан приготовленного чая с сахаром непосредственно перед отпуском.</t>
    </r>
  </si>
  <si>
    <t>150/50/15</t>
  </si>
  <si>
    <r>
      <t xml:space="preserve">Технология приготовления: </t>
    </r>
    <r>
      <rPr>
        <sz val="10"/>
        <color theme="1"/>
        <rFont val="Times New Roman"/>
        <family val="1"/>
        <charset val="204"/>
      </rPr>
      <t>К приготовленному чаю с сахаром добавляют с сахаром добавляют горячее кипяченое молоко.</t>
    </r>
  </si>
  <si>
    <r>
      <t xml:space="preserve">Номер рецептуры: </t>
    </r>
    <r>
      <rPr>
        <u/>
        <sz val="10"/>
        <color theme="1"/>
        <rFont val="Times New Roman"/>
        <family val="1"/>
        <charset val="204"/>
      </rPr>
      <t>379</t>
    </r>
  </si>
  <si>
    <r>
      <t xml:space="preserve">Наименование кулинарного изделия (блюда): </t>
    </r>
    <r>
      <rPr>
        <u/>
        <sz val="10"/>
        <color theme="1"/>
        <rFont val="Times New Roman"/>
        <family val="1"/>
        <charset val="204"/>
      </rPr>
      <t>Кофейный напиток с молоком</t>
    </r>
  </si>
  <si>
    <t>Кофейный напиток</t>
  </si>
  <si>
    <r>
      <t xml:space="preserve">Технология приготовления: </t>
    </r>
    <r>
      <rPr>
        <sz val="10"/>
        <color theme="1"/>
        <rFont val="Times New Roman"/>
        <family val="1"/>
        <charset val="204"/>
      </rPr>
      <t>В сваренный процеженный кофейный напиток добавляют горячее кипячоное молоко, сахар и доводят до кипения.</t>
    </r>
  </si>
  <si>
    <r>
      <t xml:space="preserve">Номер рецептуры: </t>
    </r>
    <r>
      <rPr>
        <u/>
        <sz val="10"/>
        <color theme="1"/>
        <rFont val="Times New Roman"/>
        <family val="1"/>
        <charset val="204"/>
      </rPr>
      <t>380</t>
    </r>
  </si>
  <si>
    <r>
      <t xml:space="preserve">Наименование кулинарного изделия (блюда): </t>
    </r>
    <r>
      <rPr>
        <u/>
        <sz val="10"/>
        <color theme="1"/>
        <rFont val="Times New Roman"/>
        <family val="1"/>
        <charset val="204"/>
      </rPr>
      <t>Кофейный напиток с молоком сгущенным</t>
    </r>
  </si>
  <si>
    <t>Молоко сгущенное с сахаром (консервы)</t>
  </si>
  <si>
    <r>
      <t xml:space="preserve">Технология приготовления: </t>
    </r>
    <r>
      <rPr>
        <sz val="10"/>
        <color theme="1"/>
        <rFont val="Times New Roman"/>
        <family val="1"/>
        <charset val="204"/>
      </rPr>
      <t>В сваренный процеженный кофейный напиток добавляют молоко сгущенное, размешивают и доводят до кипения.</t>
    </r>
  </si>
  <si>
    <r>
      <t xml:space="preserve">Номер рецептуры: </t>
    </r>
    <r>
      <rPr>
        <u/>
        <sz val="10"/>
        <color theme="1"/>
        <rFont val="Times New Roman"/>
        <family val="1"/>
        <charset val="204"/>
      </rPr>
      <t>382</t>
    </r>
  </si>
  <si>
    <r>
      <t xml:space="preserve">Наименование кулинарного изделия (блюда): </t>
    </r>
    <r>
      <rPr>
        <u/>
        <sz val="10"/>
        <color theme="1"/>
        <rFont val="Times New Roman"/>
        <family val="1"/>
        <charset val="204"/>
      </rPr>
      <t>Какао с молоком</t>
    </r>
  </si>
  <si>
    <t>Какао - порошок</t>
  </si>
  <si>
    <r>
      <t>Технология приготовления:</t>
    </r>
    <r>
      <rPr>
        <sz val="10"/>
        <color theme="1"/>
        <rFont val="Times New Roman"/>
        <family val="1"/>
        <charset val="204"/>
      </rPr>
      <t xml:space="preserve"> Какао кладут в посуду, смешивают с сахаром, добавляют небольшое кипятка (100 мм) и растирают до однородной массы, затем вливают при постоянном помешивании кипяченое горячее молоко, остальной кипяток и доводят до кипения.</t>
    </r>
  </si>
  <si>
    <t>Технологическая карта  кулинарного изделия (блюда) № 111</t>
  </si>
  <si>
    <t>Технологическая карта  кулинарного изделия (блюда) № 112</t>
  </si>
  <si>
    <t>Технологическая карта  кулинарногоизделия (блюда) № 113</t>
  </si>
  <si>
    <r>
      <t xml:space="preserve">Номер рецептуры: </t>
    </r>
    <r>
      <rPr>
        <u/>
        <sz val="10"/>
        <color theme="1"/>
        <rFont val="Times New Roman"/>
        <family val="1"/>
        <charset val="204"/>
      </rPr>
      <t>383</t>
    </r>
  </si>
  <si>
    <r>
      <t xml:space="preserve">Номер рецептуры: </t>
    </r>
    <r>
      <rPr>
        <u/>
        <sz val="10"/>
        <color theme="1"/>
        <rFont val="Times New Roman"/>
        <family val="1"/>
        <charset val="204"/>
      </rPr>
      <t>385</t>
    </r>
  </si>
  <si>
    <r>
      <t xml:space="preserve">Номер рецептуры: </t>
    </r>
    <r>
      <rPr>
        <u/>
        <sz val="10"/>
        <color theme="1"/>
        <rFont val="Times New Roman"/>
        <family val="1"/>
        <charset val="204"/>
      </rPr>
      <t>386</t>
    </r>
  </si>
  <si>
    <r>
      <t xml:space="preserve">Наименование кулинарного изделия (блюда): </t>
    </r>
    <r>
      <rPr>
        <u/>
        <sz val="10"/>
        <color theme="1"/>
        <rFont val="Times New Roman"/>
        <family val="1"/>
        <charset val="204"/>
      </rPr>
      <t>Какао с молоком сгущенным</t>
    </r>
  </si>
  <si>
    <t xml:space="preserve">Сахар </t>
  </si>
  <si>
    <t>или молоко сгущенное стерилизованное (консервы)</t>
  </si>
  <si>
    <r>
      <t>Технология приготовления:</t>
    </r>
    <r>
      <rPr>
        <sz val="10"/>
        <color theme="1"/>
        <rFont val="Times New Roman"/>
        <family val="1"/>
        <charset val="204"/>
      </rPr>
      <t xml:space="preserve"> Молоко сгущенное с сахаром или сгущенное стерилизованное (без сахара) разводят горячей водой и доводят до кипения. Напиток готовят, как указано в рец. № 382.</t>
    </r>
  </si>
  <si>
    <r>
      <t>Технология приготовления:</t>
    </r>
    <r>
      <rPr>
        <sz val="10"/>
        <color theme="1"/>
        <rFont val="Times New Roman"/>
        <family val="1"/>
        <charset val="204"/>
      </rPr>
      <t xml:space="preserve"> Молоко кипятят в посуде, предназначенной для этих целей, а затем охлаждают и разливают в стаканы.</t>
    </r>
  </si>
  <si>
    <t>Кефир</t>
  </si>
  <si>
    <t>или ряженка</t>
  </si>
  <si>
    <r>
      <t>Технология приготовления:</t>
    </r>
    <r>
      <rPr>
        <sz val="10"/>
        <color theme="1"/>
        <rFont val="Times New Roman"/>
        <family val="1"/>
        <charset val="204"/>
      </rPr>
      <t xml:space="preserve"> Кисломолочные продукты подают в стаканах.</t>
    </r>
  </si>
  <si>
    <r>
      <t xml:space="preserve">Номер рецептуры: </t>
    </r>
    <r>
      <rPr>
        <u/>
        <sz val="10"/>
        <color theme="1"/>
        <rFont val="Times New Roman"/>
        <family val="1"/>
        <charset val="204"/>
      </rPr>
      <t>388</t>
    </r>
  </si>
  <si>
    <t>Технологическая карта  кулинарного изделия (блюда) № 114</t>
  </si>
  <si>
    <r>
      <t xml:space="preserve">Наименование кулинарного изделия (блюда): </t>
    </r>
    <r>
      <rPr>
        <u/>
        <sz val="10"/>
        <color theme="1"/>
        <rFont val="Times New Roman"/>
        <family val="1"/>
        <charset val="204"/>
      </rPr>
      <t>Напиток из плодов шиповника</t>
    </r>
  </si>
  <si>
    <t>Плоды шиповника сушеные</t>
  </si>
  <si>
    <r>
      <t xml:space="preserve">Технология приготовления: </t>
    </r>
    <r>
      <rPr>
        <sz val="10"/>
        <color theme="1"/>
        <rFont val="Times New Roman"/>
        <family val="1"/>
        <charset val="204"/>
      </rPr>
      <t xml:space="preserve">Плоды шиповника промывают холодной водой, кладут в посуду из неокисляющегося материала, заливают кипятком и кипятят при закрытой крышке и слабом кипячении 10 мин. Добавляют сахар. Затем осталяют для настаивания на 2 - 4 часа. После этого отвар процеживают и охлаждают. </t>
    </r>
  </si>
  <si>
    <t>ОВОЩИ НАТУРАЛЬНЫЕ СОЛЕНЫЕ (ОГУРЕЦ)</t>
  </si>
  <si>
    <r>
      <t>Номер рецептуры:</t>
    </r>
    <r>
      <rPr>
        <u/>
        <sz val="10"/>
        <color theme="1"/>
        <rFont val="Times New Roman"/>
        <family val="1"/>
        <charset val="204"/>
      </rPr>
      <t>188</t>
    </r>
  </si>
  <si>
    <t>БУТЕРБРОДЫ ГОРЯЧИЕ С СЫРОМ</t>
  </si>
  <si>
    <t>3/8 шт.</t>
  </si>
  <si>
    <t>38 шт.</t>
  </si>
  <si>
    <t>3 шт.</t>
  </si>
  <si>
    <t>6 шт.</t>
  </si>
  <si>
    <t>13 шт.</t>
  </si>
  <si>
    <t>Сезон: осень - зима</t>
  </si>
  <si>
    <t>Сезон</t>
  </si>
  <si>
    <t>Возраст</t>
  </si>
  <si>
    <t>Возраст: с 11 лет и старше</t>
  </si>
  <si>
    <t>3/100 шт.</t>
  </si>
  <si>
    <t>№ п/п</t>
  </si>
  <si>
    <t>Фактически выдано</t>
  </si>
  <si>
    <t>Отклонение от нормы в % (+/-)</t>
  </si>
  <si>
    <r>
      <t xml:space="preserve">Наименование кулинарного изделия (блюда): </t>
    </r>
    <r>
      <rPr>
        <u/>
        <sz val="10"/>
        <color theme="1"/>
        <rFont val="Times New Roman"/>
        <family val="1"/>
        <charset val="204"/>
      </rPr>
      <t>Масло (порциями)</t>
    </r>
  </si>
  <si>
    <t xml:space="preserve">МАСЛО (ПОРЦИЯМИ) </t>
  </si>
  <si>
    <t>Сыр голландский</t>
  </si>
  <si>
    <r>
      <t xml:space="preserve">Наименование кулинарного изделия (блюда): </t>
    </r>
    <r>
      <rPr>
        <u/>
        <sz val="9"/>
        <color theme="1"/>
        <rFont val="Times New Roman"/>
        <family val="1"/>
        <charset val="204"/>
      </rPr>
      <t>Салат картофельный с солеными огурцами и зеленым горошком</t>
    </r>
  </si>
  <si>
    <r>
      <t xml:space="preserve">Наименование кулинарного изделия (блюда): </t>
    </r>
    <r>
      <rPr>
        <u/>
        <sz val="10"/>
        <color theme="1"/>
        <rFont val="Times New Roman"/>
        <family val="1"/>
        <charset val="204"/>
      </rPr>
      <t>Салат из свеклы с яблоками</t>
    </r>
  </si>
  <si>
    <r>
      <t xml:space="preserve">Наименование кулинарного изделия (блюда): </t>
    </r>
    <r>
      <rPr>
        <u/>
        <sz val="10"/>
        <color theme="1"/>
        <rFont val="Times New Roman"/>
        <family val="1"/>
        <charset val="204"/>
      </rPr>
      <t>Салат из моркови с сахаром или медом</t>
    </r>
  </si>
  <si>
    <r>
      <t xml:space="preserve">Наименование кулинарного изделия (блюда): </t>
    </r>
    <r>
      <rPr>
        <u/>
        <sz val="10"/>
        <color theme="1"/>
        <rFont val="Times New Roman"/>
        <family val="1"/>
        <charset val="204"/>
      </rPr>
      <t>Яйца вареные</t>
    </r>
  </si>
  <si>
    <r>
      <t xml:space="preserve">Наименование кулинарного изделия (блюда): </t>
    </r>
    <r>
      <rPr>
        <u/>
        <sz val="10"/>
        <color theme="1"/>
        <rFont val="Times New Roman"/>
        <family val="1"/>
        <charset val="204"/>
      </rPr>
      <t>Салат из свежих помидоров</t>
    </r>
  </si>
  <si>
    <t>САЛАТ ИЗ СВЕЖИХ ПОМИДОР ОВ И ОГУРЦОВ</t>
  </si>
  <si>
    <r>
      <t xml:space="preserve">Наименование кулинарного изделия (блюда): </t>
    </r>
    <r>
      <rPr>
        <u/>
        <sz val="10"/>
        <color theme="1"/>
        <rFont val="Times New Roman"/>
        <family val="1"/>
        <charset val="204"/>
      </rPr>
      <t>Салат из свежих помидоров  и огурцов</t>
    </r>
  </si>
  <si>
    <t xml:space="preserve">ВИНЕГРЕТ ОВОЩНОЙ </t>
  </si>
  <si>
    <t>ЯЙЦА ВАРЕНЫЕ</t>
  </si>
  <si>
    <t>ПЛОДЫ ИЛИ ЯГОДЫ СВЕЖИЕ (БАНАНЫ)</t>
  </si>
  <si>
    <t>ПЛОДЫ ИЛИ ЯГОДЫ СВЕЖИЕ (ЯБЛОКИ)</t>
  </si>
  <si>
    <t xml:space="preserve">АЕЛЬСИНЫ, МАНДАРИНЫ, АНАНАСЫ С САХАРОМ (АПЕЛЬСИНЫ) </t>
  </si>
  <si>
    <t>ЙОГУРТ 2,5 % ЖИРНОСТИ</t>
  </si>
  <si>
    <r>
      <t xml:space="preserve">Наименование кулинарного изделия (блюда): </t>
    </r>
    <r>
      <rPr>
        <u/>
        <sz val="9"/>
        <color theme="1"/>
        <rFont val="Times New Roman"/>
        <family val="1"/>
        <charset val="204"/>
      </rPr>
      <t>Запеканка (рулет) картофельная с мясом или субпродуктами</t>
    </r>
  </si>
  <si>
    <r>
      <t xml:space="preserve">Наименование кулинарного изделия (блюда): </t>
    </r>
    <r>
      <rPr>
        <u/>
        <sz val="10"/>
        <color theme="1"/>
        <rFont val="Times New Roman"/>
        <family val="1"/>
        <charset val="204"/>
      </rPr>
      <t>Птица ии кролик отварные</t>
    </r>
  </si>
  <si>
    <r>
      <t xml:space="preserve">Наименование кулинарного изделия (блюда): </t>
    </r>
    <r>
      <rPr>
        <u/>
        <sz val="10"/>
        <color theme="1"/>
        <rFont val="Times New Roman"/>
        <family val="1"/>
        <charset val="204"/>
      </rPr>
      <t>Рагу из птицы, кролика или субпродуктов</t>
    </r>
  </si>
  <si>
    <r>
      <t xml:space="preserve">Наименование кулинарного изделия (блюда): </t>
    </r>
    <r>
      <rPr>
        <u/>
        <sz val="10"/>
        <color theme="1"/>
        <rFont val="Times New Roman"/>
        <family val="1"/>
        <charset val="204"/>
      </rPr>
      <t>Птица или кролик, тушенные в соусе</t>
    </r>
  </si>
  <si>
    <r>
      <t xml:space="preserve">Наименование кулинарного изделия (блюда): </t>
    </r>
    <r>
      <rPr>
        <u/>
        <sz val="10"/>
        <color theme="1"/>
        <rFont val="Times New Roman"/>
        <family val="1"/>
        <charset val="204"/>
      </rPr>
      <t>Плов из птицы или кролика</t>
    </r>
  </si>
  <si>
    <r>
      <t xml:space="preserve">Наименование кулинарного изделия (блюда): </t>
    </r>
    <r>
      <rPr>
        <u/>
        <sz val="10"/>
        <color theme="1"/>
        <rFont val="Times New Roman"/>
        <family val="1"/>
        <charset val="204"/>
      </rPr>
      <t>Птица или кролик, тушенные в соусе с овощами</t>
    </r>
  </si>
  <si>
    <r>
      <t xml:space="preserve">Наименование кулинарного изделия (блюда): </t>
    </r>
    <r>
      <rPr>
        <u/>
        <sz val="10"/>
        <color theme="1"/>
        <rFont val="Times New Roman"/>
        <family val="1"/>
        <charset val="204"/>
      </rPr>
      <t>Котлеты рубленые из птицы или кролика</t>
    </r>
  </si>
  <si>
    <t>ЖАРКОЕ ПО-ДОМАШНЕМУ</t>
  </si>
  <si>
    <t xml:space="preserve">ГУЛЯШ </t>
  </si>
  <si>
    <t xml:space="preserve">ПЛОВ </t>
  </si>
  <si>
    <t>ЗАПЕКАНКА (РУЛЕТ) КАРТОФЕЛЬНАЯ С МЯСОМ ИЛИ СУБПРОДУКТАМИ (ГОВЯДИНА)</t>
  </si>
  <si>
    <t>ЗАПЕКАНКА (РУЛЕТ) КАРТОФЕЛЬНАЯ С МЯСОМ ИЛИ СУБПРОДУКТАМИ (ПЕЧЕНЬ)</t>
  </si>
  <si>
    <t>ПТИЦА ИЛИ КРОЛИК ОТВАРНЫЕ</t>
  </si>
  <si>
    <t>ПТИЦА ИЛИ КРОЛИК, ТУШЕНЫЕ В СОУСЕ</t>
  </si>
  <si>
    <t>КАША РАССЫПЧАТАЯ (ПЕРЛОВАЯ)</t>
  </si>
  <si>
    <t xml:space="preserve">КАША РАССЫПЧАТАЯ  (ГРЕЧНЕВАЯ) </t>
  </si>
  <si>
    <r>
      <t xml:space="preserve">Наименование кулинарного изделия (блюда): </t>
    </r>
    <r>
      <rPr>
        <u/>
        <sz val="8"/>
        <color theme="1"/>
        <rFont val="Times New Roman"/>
        <family val="1"/>
        <charset val="204"/>
      </rPr>
      <t>Каша вязкая молочная из риса, ячневой, кукурузной и перловой круп</t>
    </r>
  </si>
  <si>
    <r>
      <t xml:space="preserve">Наименование кулинарного изделия (блюда): </t>
    </r>
    <r>
      <rPr>
        <u/>
        <sz val="10"/>
        <color theme="1"/>
        <rFont val="Times New Roman"/>
        <family val="1"/>
        <charset val="204"/>
      </rPr>
      <t>Пудинг рисовый, манный, пшенный</t>
    </r>
  </si>
  <si>
    <r>
      <t xml:space="preserve">Наименование кулинарного изделия (блюда): </t>
    </r>
    <r>
      <rPr>
        <u/>
        <sz val="10"/>
        <color theme="1"/>
        <rFont val="Times New Roman"/>
        <family val="1"/>
        <charset val="204"/>
      </rPr>
      <t>Пудинг из творога (запеченный)</t>
    </r>
  </si>
  <si>
    <t>КАША ЖИДКАЯ МОЛОЧНАЯ ИЗ МАННОЙ КРУПЫ</t>
  </si>
  <si>
    <t xml:space="preserve">ЗАПЕКАНКА РИСОВАЯ С ТВОРОГОМ </t>
  </si>
  <si>
    <t>ПУДИНГ РИСОВЫЙ, МАННЫЙ, ПШЕННЫЙ</t>
  </si>
  <si>
    <t xml:space="preserve">ЗАПЕКАНКА ИЗ ТВОРОГА </t>
  </si>
  <si>
    <t>КАПУСТА ТУШЕНАЯ (СВЕЖАЯ)</t>
  </si>
  <si>
    <r>
      <t xml:space="preserve">Наименование кулинарного изделия (блюда): </t>
    </r>
    <r>
      <rPr>
        <u/>
        <sz val="10"/>
        <color theme="1"/>
        <rFont val="Times New Roman"/>
        <family val="1"/>
        <charset val="204"/>
      </rPr>
      <t>Суп из овощей</t>
    </r>
  </si>
  <si>
    <t xml:space="preserve">СУП-ЛАПША ДОМАШНЯЯ </t>
  </si>
  <si>
    <r>
      <t xml:space="preserve">Наименование кулинарного изделия (блюда): </t>
    </r>
    <r>
      <rPr>
        <u/>
        <sz val="10"/>
        <color theme="1"/>
        <rFont val="Times New Roman"/>
        <family val="1"/>
        <charset val="204"/>
      </rPr>
      <t>Булочка "Молочная"</t>
    </r>
  </si>
  <si>
    <t>КОРЖИКИ МОЛОЧНЫЕ</t>
  </si>
  <si>
    <t>БУЛОЧКА "МОЛОЧНАЯ"</t>
  </si>
  <si>
    <t>БУЛОЧКА "ВЕСНУШКА"</t>
  </si>
  <si>
    <t>ВАТРУШКИ (ПОВИДЛО)</t>
  </si>
  <si>
    <t>ПИРОЖКИ ПЕЧЕНЫЕ ИЗ ДРОЖЖЕВОГО ТЕСТА (С КАРТОФЕЛЕМ)</t>
  </si>
  <si>
    <t>ПИРОЖКИ ПЕЧЕНЫЕ ИЗ ДРОЖЖЕВОГО ТЕСТА (С КАПУСТОЙ)</t>
  </si>
  <si>
    <t>ПИРОЖКИ ПЕЧЕНЫЕ ИЗ ДРОЖЖЕВОГО ТЕСТА (С ЯБЛОКАМИ)</t>
  </si>
  <si>
    <r>
      <t xml:space="preserve">Наименование кулинарного изделия (блюда): </t>
    </r>
    <r>
      <rPr>
        <u/>
        <sz val="10"/>
        <color theme="1"/>
        <rFont val="Times New Roman"/>
        <family val="1"/>
        <charset val="204"/>
      </rPr>
      <t>Компот из свежих плодов</t>
    </r>
  </si>
  <si>
    <r>
      <t xml:space="preserve">Наименование кулинарногоизделия (блюда): </t>
    </r>
    <r>
      <rPr>
        <u/>
        <sz val="10"/>
        <color theme="1"/>
        <rFont val="Times New Roman"/>
        <family val="1"/>
        <charset val="204"/>
      </rPr>
      <t>Компот из плодов или ягод сушеных</t>
    </r>
  </si>
  <si>
    <r>
      <t xml:space="preserve">Наименование кулинарного изделия (блюда): </t>
    </r>
    <r>
      <rPr>
        <u/>
        <sz val="10"/>
        <color theme="1"/>
        <rFont val="Times New Roman"/>
        <family val="1"/>
        <charset val="204"/>
      </rPr>
      <t>Чай с сахаром, вареньем, джемом, медом, повидлом</t>
    </r>
  </si>
  <si>
    <r>
      <t xml:space="preserve">Наименование кулинарногоизделия (блюда): </t>
    </r>
    <r>
      <rPr>
        <u/>
        <sz val="10"/>
        <color theme="1"/>
        <rFont val="Times New Roman"/>
        <family val="1"/>
        <charset val="204"/>
      </rPr>
      <t>Молоко кипяченое</t>
    </r>
  </si>
  <si>
    <r>
      <t xml:space="preserve">Наименование кулинарного изделия (блюда): </t>
    </r>
    <r>
      <rPr>
        <u/>
        <sz val="10"/>
        <color theme="1"/>
        <rFont val="Times New Roman"/>
        <family val="1"/>
        <charset val="204"/>
      </rPr>
      <t>Кефир, ацидофилин, простокваша, ряженка, айран</t>
    </r>
  </si>
  <si>
    <t>КЕФИР, АЦИДОФИЛИН, ПРОСТОКВАША, РЯЖЕНКА, АЙРАН</t>
  </si>
  <si>
    <t>КОМПОТ ИЗ СВЕЖИХ ПЛОДОВ (ЯБЛОКИ)</t>
  </si>
  <si>
    <t>Возраст: с 7 до 11 лет</t>
  </si>
  <si>
    <t>Хлеб ржаной</t>
  </si>
  <si>
    <t>Крупы, бобовые</t>
  </si>
  <si>
    <t>Макаронные изделия</t>
  </si>
  <si>
    <t>Овощи (свежие, мороженые, консервированные), включая соленые и квашеные (не более 10 % от общего количества овощей), в т. ч. томат-пюре, зелень, г.</t>
  </si>
  <si>
    <t>Сухофрукты</t>
  </si>
  <si>
    <t>Мясо 1-й категории</t>
  </si>
  <si>
    <t>Птица (цыплята-бройлеры потрошеные  - 1 кат)</t>
  </si>
  <si>
    <t>Рыба (филе), в т. ч. филе слабо- или малосоленое</t>
  </si>
  <si>
    <t>Творог (5% - 9% м.д.ж.)</t>
  </si>
  <si>
    <t>Сыр</t>
  </si>
  <si>
    <t>Сахар (в том числе для приготовления блюд и напитков, в случае использования пищевой продукции промышленного выпуска, содержащих сахар, выдача сахара должна быть уменьшенав зависимости от его содержания в используемом готовой пищевой продукции)</t>
  </si>
  <si>
    <t>Чай</t>
  </si>
  <si>
    <t>Какао-порошок</t>
  </si>
  <si>
    <t>Дрожжи хлебопекарные</t>
  </si>
  <si>
    <t>Соль пищевая поваренная йодированная</t>
  </si>
  <si>
    <t>Наименование пищевой продукции или группы пищевой продукции</t>
  </si>
  <si>
    <t>Среднесуточные наборы пищевой продукции для организациипитания детей с 7 до 11 лет</t>
  </si>
  <si>
    <t>Норма продукта</t>
  </si>
  <si>
    <r>
      <t xml:space="preserve">Наименование кулинарногоизделия (блюда): </t>
    </r>
    <r>
      <rPr>
        <u/>
        <sz val="10"/>
        <color theme="1"/>
        <rFont val="Times New Roman"/>
        <family val="1"/>
        <charset val="204"/>
      </rPr>
      <t>Чай с молоком или сливками</t>
    </r>
  </si>
  <si>
    <t>Молоко (сухое)</t>
  </si>
  <si>
    <t>Петрушка (корень) (лук)</t>
  </si>
  <si>
    <t>Петрушка (корень) (морковь)</t>
  </si>
  <si>
    <t>Сельдерей (корень) (лук)</t>
  </si>
  <si>
    <t>Томатное пюре (паста)</t>
  </si>
  <si>
    <t>Лапша домашняя № 14</t>
  </si>
  <si>
    <r>
      <t xml:space="preserve">Наименование кулинарногоизделия (блюда): </t>
    </r>
    <r>
      <rPr>
        <u/>
        <sz val="8"/>
        <color rgb="FFFF0000"/>
        <rFont val="Times New Roman"/>
        <family val="1"/>
        <charset val="204"/>
      </rPr>
      <t>Каша вязкая молочная из пшенной, овсянной, гречневой и других круп</t>
    </r>
  </si>
  <si>
    <r>
      <t xml:space="preserve">Номер рецептуры: </t>
    </r>
    <r>
      <rPr>
        <u/>
        <sz val="10"/>
        <color rgb="FFFF0000"/>
        <rFont val="Times New Roman"/>
        <family val="1"/>
        <charset val="204"/>
      </rPr>
      <t>173</t>
    </r>
  </si>
  <si>
    <r>
      <rPr>
        <b/>
        <sz val="10"/>
        <color rgb="FFFF0000"/>
        <rFont val="Times New Roman"/>
        <family val="1"/>
        <charset val="204"/>
      </rPr>
      <t>Наименование сборника рецептур:</t>
    </r>
    <r>
      <rPr>
        <sz val="10"/>
        <color rgb="FFFF0000"/>
        <rFont val="Times New Roman"/>
        <family val="1"/>
        <charset val="204"/>
      </rPr>
      <t xml:space="preserve"> </t>
    </r>
    <r>
      <rPr>
        <u/>
        <sz val="10"/>
        <color rgb="FFFF0000"/>
        <rFont val="Times New Roman"/>
        <family val="1"/>
        <charset val="204"/>
      </rPr>
      <t>Сборник рецептур на продукцию для обучающихся во всех</t>
    </r>
    <r>
      <rPr>
        <sz val="10"/>
        <color rgb="FFFF0000"/>
        <rFont val="Times New Roman"/>
        <family val="1"/>
        <charset val="204"/>
      </rPr>
      <t xml:space="preserve"> </t>
    </r>
  </si>
  <si>
    <r>
      <rPr>
        <u/>
        <sz val="10"/>
        <color rgb="FFFF0000"/>
        <rFont val="Times New Roman"/>
        <family val="1"/>
        <charset val="204"/>
      </rPr>
      <t>образовательных учреждениях М.П. Могильный Москва «Дели Принт» 2011 г</t>
    </r>
    <r>
      <rPr>
        <sz val="10"/>
        <color rgb="FFFF0000"/>
        <rFont val="Times New Roman"/>
        <family val="1"/>
        <charset val="204"/>
      </rPr>
      <t xml:space="preserve">  </t>
    </r>
  </si>
  <si>
    <r>
      <t xml:space="preserve">Технология приготовления: </t>
    </r>
    <r>
      <rPr>
        <sz val="10"/>
        <color rgb="FFFF0000"/>
        <rFont val="Times New Roman"/>
        <family val="1"/>
        <charset val="204"/>
      </rPr>
      <t>Подготовленную крупу засыпают в кипящую жидкость (молоко с водой), добавляют соль, сахар и варят, периодически помешивая, пока каша не загустеет, затем плотно закрывают крышкой и оставляют на плите с умеренным нагревом. Кашу отпускают с сахаром и маслом, или с маслом.</t>
    </r>
  </si>
  <si>
    <t>Минтай (филе)</t>
  </si>
  <si>
    <t>Помидоры (томатная паста)</t>
  </si>
  <si>
    <t>Соус № 332</t>
  </si>
  <si>
    <t>Курица (филе)</t>
  </si>
  <si>
    <t>Технологическая карта  кулинарного изделия (блюда) № 115</t>
  </si>
  <si>
    <r>
      <t xml:space="preserve">Номер рецептуры: </t>
    </r>
    <r>
      <rPr>
        <u/>
        <sz val="10"/>
        <color theme="1"/>
        <rFont val="Times New Roman"/>
        <family val="1"/>
        <charset val="204"/>
      </rPr>
      <t>330</t>
    </r>
  </si>
  <si>
    <r>
      <t xml:space="preserve">Наименование кулинарного изделия (блюда): </t>
    </r>
    <r>
      <rPr>
        <u/>
        <sz val="10"/>
        <color theme="1"/>
        <rFont val="Times New Roman"/>
        <family val="1"/>
        <charset val="204"/>
      </rPr>
      <t>Соус сметанный</t>
    </r>
  </si>
  <si>
    <t>Масса белого соуса</t>
  </si>
  <si>
    <r>
      <t xml:space="preserve">Технология приготовления: </t>
    </r>
    <r>
      <rPr>
        <sz val="10"/>
        <color theme="1"/>
        <rFont val="Times New Roman"/>
        <family val="1"/>
        <charset val="204"/>
      </rPr>
      <t>Для белого соуса пассеруют муку при непрерывном помешивании до образования светло-кремового цвета, не допуская пригорания. В пассерованную муку, охлажденную до 60 - 70 С, выливают 1/4 часть горячей воды или отвара и вымешивают. Для приготовления соуса сметанного в горячий белый соус кладут прокипяченную сметану, соль и кипятят 3 - 5 минут, процеживают и доводят до кипения.</t>
    </r>
  </si>
  <si>
    <t>1/6 шт.</t>
  </si>
  <si>
    <t>Технологическая карта  кулинарного изделия (блюда) № 116</t>
  </si>
  <si>
    <r>
      <t xml:space="preserve">Номер рецептуры: </t>
    </r>
    <r>
      <rPr>
        <u/>
        <sz val="10"/>
        <color theme="1"/>
        <rFont val="Times New Roman"/>
        <family val="1"/>
        <charset val="204"/>
      </rPr>
      <t>202</t>
    </r>
  </si>
  <si>
    <r>
      <t xml:space="preserve">Наименование кулинарного изделия (блюда): </t>
    </r>
    <r>
      <rPr>
        <u/>
        <sz val="10"/>
        <color theme="1"/>
        <rFont val="Times New Roman"/>
        <family val="1"/>
        <charset val="204"/>
      </rPr>
      <t>Макаронные изделия отварные</t>
    </r>
  </si>
  <si>
    <r>
      <t xml:space="preserve">Технология приготовления: </t>
    </r>
    <r>
      <rPr>
        <sz val="10"/>
        <color theme="1"/>
        <rFont val="Times New Roman"/>
        <family val="1"/>
        <charset val="204"/>
      </rPr>
      <t>Сваренные макароные изделия откидывают и перемешивают с растопленным маслом сливочным (1/3 - 1/2 часть от указанного в рецептуре количества), чтобы они не склеивались и не образовывали комков. Остальной частью масла макароны заправляют непосредственно перед отпуском. Блюда из макаронных изделий подают в горячем виде.</t>
    </r>
  </si>
  <si>
    <t>5</t>
  </si>
  <si>
    <t>50/125/25</t>
  </si>
  <si>
    <t>Молоко или вода(сухое)</t>
  </si>
  <si>
    <t xml:space="preserve">МОЛОКО </t>
  </si>
  <si>
    <t>БОБОВЫЕ (ГОРОХ ЗЕЛЕНЫЙ КОНСЕРВИРОВАННЫЙ)</t>
  </si>
  <si>
    <t>БОБОВЫЕ (КУКУРУЗА САХАРНАЯ КОНСЕРВИРОВАННАЯ)</t>
  </si>
  <si>
    <t>D</t>
  </si>
  <si>
    <t>K</t>
  </si>
  <si>
    <t>СОСИСКА В ТЕСТЕ</t>
  </si>
  <si>
    <t>ШНИЦЕЛЬ РЫБНЫй НАТУРАЛЬНЫЙ</t>
  </si>
  <si>
    <r>
      <t xml:space="preserve">Наименование кулинарного изделия (блюда):Шницель </t>
    </r>
    <r>
      <rPr>
        <u/>
        <sz val="10"/>
        <color theme="1"/>
        <rFont val="Times New Roman"/>
        <family val="1"/>
        <charset val="204"/>
      </rPr>
      <t xml:space="preserve"> рыбный</t>
    </r>
  </si>
  <si>
    <r>
      <t xml:space="preserve">Номер рецептуры: </t>
    </r>
    <r>
      <rPr>
        <u/>
        <sz val="10"/>
        <color theme="1"/>
        <rFont val="Times New Roman"/>
        <family val="1"/>
        <charset val="204"/>
      </rPr>
      <t>235</t>
    </r>
  </si>
  <si>
    <t>Лук, петрушка</t>
  </si>
  <si>
    <t>Яйцо               1/10</t>
  </si>
  <si>
    <t>13шт</t>
  </si>
  <si>
    <t>10</t>
  </si>
  <si>
    <t>пф</t>
  </si>
  <si>
    <t>Огурцы соленые или</t>
  </si>
  <si>
    <t>49,87 сырых</t>
  </si>
  <si>
    <t>12 шт.</t>
  </si>
  <si>
    <r>
      <t xml:space="preserve">Номер рецептуры: </t>
    </r>
    <r>
      <rPr>
        <u/>
        <sz val="10"/>
        <color theme="1"/>
        <rFont val="Times New Roman"/>
        <family val="1"/>
        <charset val="204"/>
      </rPr>
      <t>114</t>
    </r>
  </si>
  <si>
    <r>
      <t xml:space="preserve">Наименование кулинарного изделия (блюда): </t>
    </r>
    <r>
      <rPr>
        <u/>
        <sz val="10"/>
        <color theme="1"/>
        <rFont val="Times New Roman"/>
        <family val="1"/>
        <charset val="204"/>
      </rPr>
      <t>Лапша домашняя</t>
    </r>
  </si>
  <si>
    <t>Сука</t>
  </si>
  <si>
    <t>Наименование кулинарного изделия (блюда):Котлеты, тефтели п/ф жаренные</t>
  </si>
  <si>
    <t>Номер рецептуры: разработка</t>
  </si>
  <si>
    <t>Котлета п/ф</t>
  </si>
  <si>
    <t>Масло слив на полив или</t>
  </si>
  <si>
    <t>соус сметанный</t>
  </si>
  <si>
    <t>90/10</t>
  </si>
  <si>
    <t>90/50</t>
  </si>
  <si>
    <t xml:space="preserve">ХЛЕБ РЖАНО-ПШЕНИЧНЫЙ </t>
  </si>
  <si>
    <t>КОЛБАСКИ ПО ДОМАШНЕМУ</t>
  </si>
  <si>
    <t>ГОЛУБЦЫ ЛЕНИВЫЕ</t>
  </si>
  <si>
    <t>МАРИНАД ОВОЩНОЙ</t>
  </si>
  <si>
    <t>разр</t>
  </si>
  <si>
    <t>ОМЛЕТ с СЫРОМ</t>
  </si>
  <si>
    <t>МАНДАРИНЫ</t>
  </si>
  <si>
    <t xml:space="preserve">ПУДИНГ ИЗ ТВОРОГА (с ИЗЮМОМ) </t>
  </si>
  <si>
    <t>Завтрак 2</t>
  </si>
  <si>
    <t>завтрак 1+2</t>
  </si>
  <si>
    <t>Понедельник 1 неделя</t>
  </si>
  <si>
    <t>ЧАЙ С САХАРОМ</t>
  </si>
  <si>
    <t>54-2гн-2020</t>
  </si>
  <si>
    <t>КАРТОФЕЛЬ ОТВАРНОЙ В МОЛОКЕ</t>
  </si>
  <si>
    <t>СОУС БЕЛЫЙ ОСНОВНОЙ</t>
  </si>
  <si>
    <t>54-2 соус 2020</t>
  </si>
  <si>
    <t>КОМПОТ ИЗ ЧЕРНОСЛИВА</t>
  </si>
  <si>
    <t>КОМПОТ ИЗ  КЛУБНИКИ</t>
  </si>
  <si>
    <t>КАРТОФЕЛЬНОЕ ПЮРЕ</t>
  </si>
  <si>
    <t>КУРИЦА ОТВАРНАЯ</t>
  </si>
  <si>
    <t>54-11г 2020</t>
  </si>
  <si>
    <t>Соус молочный натуральный</t>
  </si>
  <si>
    <t>Вторник 1 неделя</t>
  </si>
  <si>
    <t>Среда 1 неделя</t>
  </si>
  <si>
    <t>ОВОЩИ В НАРЕЗКЕ (перец)</t>
  </si>
  <si>
    <t>ОЛАДЬИ из ПЕЧЕНИ</t>
  </si>
  <si>
    <t>КОМПОТ ИЗ КУРАГИ</t>
  </si>
  <si>
    <t>54-5г 2020</t>
  </si>
  <si>
    <t>Четверг 1 неделя</t>
  </si>
  <si>
    <t>МОРКОВЫЬ ОТВАРНАЯ ДОЛЬКАМИ</t>
  </si>
  <si>
    <t>РИС ПРИПУЩЕННЫЙ С ТОМАТОМ</t>
  </si>
  <si>
    <t>54-27г 2020</t>
  </si>
  <si>
    <t>БИТОЧКИ ИЗ КУРИЦЫ</t>
  </si>
  <si>
    <t>Пятница 1 неделя</t>
  </si>
  <si>
    <t>КАША  ВЯЗКАЯ МОЛОЧНАЯ ЯЧНЕВАЯ</t>
  </si>
  <si>
    <t>СВЕКЛА ОТВАРНАЯ ДОЛЬКАМИ</t>
  </si>
  <si>
    <t xml:space="preserve">МАКАРОНЫ ОТВАРНЫЕ </t>
  </si>
  <si>
    <t>БЕФСТРОГАНОВ из ОТВАРНОЙ ГОВЯДИНЫ</t>
  </si>
  <si>
    <t>КОМПОТ ИЗ СМОРОДИНЫ</t>
  </si>
  <si>
    <t>54-1г 2020</t>
  </si>
  <si>
    <t>РАГУ ИЗ КУРИЦЫ</t>
  </si>
  <si>
    <t>СОУС СМЕТАННЫЙ</t>
  </si>
  <si>
    <t>54-4г 2020</t>
  </si>
  <si>
    <t>Понедельник 2 неделя</t>
  </si>
  <si>
    <t>КАША ЖИДКАЯ МОЛОЧНАЯ ОВСЯННАЯ</t>
  </si>
  <si>
    <t>54-3с 2020</t>
  </si>
  <si>
    <t>Вторник 2 неделя</t>
  </si>
  <si>
    <t>ГОРОШИЦА</t>
  </si>
  <si>
    <t>СУП КРЕСТЬЯНСКИЙ С КРУПОЙ</t>
  </si>
  <si>
    <t>54--1хн 2020</t>
  </si>
  <si>
    <t>Среда 2 неделя</t>
  </si>
  <si>
    <t>СОУС КРАСНЫЙ ОСНОВНОЙ</t>
  </si>
  <si>
    <t>54-3 соус 2020</t>
  </si>
  <si>
    <t>Четверг 2 неделя</t>
  </si>
  <si>
    <t>СУП ФАСОЛЕВЫЙ</t>
  </si>
  <si>
    <t>ФРИКАДЕЛЬКИ ИЗ ГОВЯДИНЫ</t>
  </si>
  <si>
    <t>Пятница 2 неделя</t>
  </si>
  <si>
    <t>МАКАРОНЫ ОТВАРНЫЕ С СЫРОМ</t>
  </si>
  <si>
    <t>КОМПОТ ИЗ ПЛОДОВ ИЛИ ЯГОД СВЕЖИХ</t>
  </si>
  <si>
    <t>54-2гн 2020</t>
  </si>
  <si>
    <t xml:space="preserve">ПЛОВ ИЗ ПТИЦЫ </t>
  </si>
  <si>
    <t>CАЛАТ ИЗ БЕЛОКОЧАННОЙ КАПУСТЫ и ОГУРЦОМ</t>
  </si>
  <si>
    <t>БОРЩ С КАПУСТОЙ И КАРТОФЕЛЕМ</t>
  </si>
  <si>
    <t xml:space="preserve">ЩИ ИЗ СВЕЖЕЙ КАПУСТЫ </t>
  </si>
  <si>
    <t>САЛАТ ИЗ МОРКОВИ С САХАРОМ</t>
  </si>
  <si>
    <t>САЛАТ ИЗ МОРКОВИ С ЯБЛОКОМ</t>
  </si>
  <si>
    <t>пр</t>
  </si>
  <si>
    <t>CАЛАТ ИЗ БЕЛОКОЧАННОЙ КАПУСТЫ с ЯБЛОКОМ</t>
  </si>
  <si>
    <t>КАША ВЯЗКАЯ МОЛОЧНАЯ  ПШЕННАЯ</t>
  </si>
  <si>
    <t>54-1г-2020</t>
  </si>
  <si>
    <t>54-13з 2020</t>
  </si>
  <si>
    <t>КОТЛЕТЫ ИЗ ГОВЯДИНЫ</t>
  </si>
  <si>
    <t>СВЕКЛЫА ОТВАРНАЯ ДОЛЬКАМИ</t>
  </si>
  <si>
    <t>ПОМИДОР В НАРЕЗКЕ</t>
  </si>
  <si>
    <t>ОГУРЕЦ В НАРЕЗКЕ</t>
  </si>
  <si>
    <t>КАША ВЯЗКАЯ МОЛОЧНАЯ ОВСЯННАЯ</t>
  </si>
  <si>
    <t>СУП ГОРОХОВЫЙ</t>
  </si>
  <si>
    <t>КАША ВЯЗКАЯ МОЛОЧНАЯ КУКУРУЗНАЯ</t>
  </si>
  <si>
    <t>САЛАТ ИЗ МОРКОВИ С ЧЕРНОСЛИВОМ</t>
  </si>
  <si>
    <t>CАЛАТ ИЗ БЕЛОКОЧАННОЙ КАПУСТЫ с МОРКОВЬЮ</t>
  </si>
  <si>
    <t>ШНИЦЕЛЬ ИЗ КУРИЦЫс СОУСОМ(75/25)</t>
  </si>
  <si>
    <t>КОМПОТ ИЗ ИЗЮМА</t>
  </si>
  <si>
    <t>КОТЛЕТА ИЗ КУРИЦЫ</t>
  </si>
  <si>
    <t xml:space="preserve">ХЛЕБ ПШЕНИЧНЫЙ </t>
  </si>
  <si>
    <t>54-6г 2020</t>
  </si>
  <si>
    <t>54-1хн 2020</t>
  </si>
  <si>
    <t>Маринад овощной с томатом</t>
  </si>
  <si>
    <t>КУРИЦА ТУШЕНАЯ С МОРКОВЬЮ(50/50)</t>
  </si>
  <si>
    <t>310-2011</t>
  </si>
  <si>
    <t>271-2011</t>
  </si>
  <si>
    <t xml:space="preserve">КИСЕЛЬ  ЯГОДНЫЙ </t>
  </si>
  <si>
    <t xml:space="preserve"> ШНИЦЕЛЬ из ГОВЯДИНЫ </t>
  </si>
  <si>
    <t>КАПУСТА ТУШЕНАЯ С МЯСОМ</t>
  </si>
  <si>
    <t>КОТЛЕТА РЫБНАЯ ЛЮБИТЕЛЬСКАЯ</t>
  </si>
  <si>
    <t>КАША ВЯЗКАЯ МОЛОЧНАЯ  ЯЧНЕВАЯ</t>
  </si>
  <si>
    <t>88-2011</t>
  </si>
  <si>
    <t>96-2011</t>
  </si>
  <si>
    <t>173-2011</t>
  </si>
  <si>
    <t>63/54-11м-2020</t>
  </si>
  <si>
    <t>СОК ФРУКТОВЫЙ</t>
  </si>
  <si>
    <t>54-3з-2020</t>
  </si>
  <si>
    <t>174-2011</t>
  </si>
  <si>
    <t>КАША ВЯЗКАЯ МОЛОЧНАЯ  ИЗ РИСА</t>
  </si>
  <si>
    <t>БОРЩ С КАПУСТОЙ С КАРТОФЕЛЕМ</t>
  </si>
  <si>
    <t>ЩИ ИЗ СВЕЖЕЙ КАПУСТЫ С КАРТОФЕЛЕМ</t>
  </si>
  <si>
    <t>ТЕФТЕЛИ ИЗ ГОВЯДИНЫ с РИСОМ (80/20)</t>
  </si>
  <si>
    <t>279-2011</t>
  </si>
  <si>
    <t>103-2011</t>
  </si>
  <si>
    <t>82-2011</t>
  </si>
  <si>
    <t>102-2011</t>
  </si>
  <si>
    <t>54-11г-2020</t>
  </si>
  <si>
    <t>229-2011</t>
  </si>
  <si>
    <t>294-2011</t>
  </si>
  <si>
    <t>54-8з 2020</t>
  </si>
  <si>
    <t>54-4гн 2020</t>
  </si>
  <si>
    <t>КАША ВЯЗКАЯ МОЛОЧНАЯ ИЗ РИСА И ПШЕНА</t>
  </si>
  <si>
    <t>54-13з-2020</t>
  </si>
  <si>
    <t>54-4м 2020</t>
  </si>
  <si>
    <t>54-11м 2020</t>
  </si>
  <si>
    <t>БИТОЧКИ ИЗ ГОВЯДИНЫ 80/20 С СОУСОМ</t>
  </si>
  <si>
    <t>КОТЛЕТА РЫБНАЯ ЛЮБИТЕЛЬСКАЯ с соусом 80/20</t>
  </si>
  <si>
    <t>КОТЛЕТЫ ИЗ ГОВЯДИНЫ 90/10 с соусом</t>
  </si>
  <si>
    <t>В среднем за 10 дней</t>
  </si>
  <si>
    <t>Фрукты свежиеи соки</t>
  </si>
  <si>
    <t>(в нетто г, мл, на 1 ребенка в сутки)  с 14-27 ноября</t>
  </si>
  <si>
    <t>ЯЗЫК СЛОЕНЫЙ</t>
  </si>
  <si>
    <t>БУЛОЧКА "ЛАКОМКА"</t>
  </si>
  <si>
    <t>ИЗДЕЛИЕ КОНДИТЕРСКОЕ</t>
  </si>
  <si>
    <t>54-21гн-2020</t>
  </si>
  <si>
    <t>МОРКОВЬ С ЧЕРНОСЛИВОМ</t>
  </si>
  <si>
    <t>МОРКОВЬ С ЯБЛОКАМИ</t>
  </si>
  <si>
    <t>ЙОГУРТ  ЖИРНОСТИ не менее 2,5%</t>
  </si>
  <si>
    <t>МОРКОВЬ  ОТВАРНАЯ ДОЛЬКАМИ</t>
  </si>
  <si>
    <t>54-23з-2020</t>
  </si>
  <si>
    <t>54-1xн 2020</t>
  </si>
  <si>
    <t>54-23,гн</t>
  </si>
  <si>
    <t>54-6г  2020</t>
  </si>
  <si>
    <t>Меню горячее питание с 12-18 лет</t>
  </si>
  <si>
    <t>54-22м 2020</t>
  </si>
  <si>
    <t>54-6г-2020</t>
  </si>
  <si>
    <t>БИТОЧКИ ИЗ ГОВЯДИНЫ С СОУСОМ</t>
  </si>
  <si>
    <t>Пюре из яблок для раннего развития</t>
  </si>
  <si>
    <t>ТЕФТЕЛИ ИЗ ГОВЯДИНЫ с РИСОМ и соусом (80/20)</t>
  </si>
  <si>
    <t>54-3гн 2020</t>
  </si>
  <si>
    <t>КОТЛЕТА ИЗ КУРИЦЫ 80/20 с соусом</t>
  </si>
  <si>
    <t>КОТЛЕТЫ ДОМАШНИЕс МАСЛОМ(100/5)</t>
  </si>
  <si>
    <t>БИТОЧКИ ИЗ ГОВЯДИНЫ</t>
  </si>
  <si>
    <t>54-13хн 2020</t>
  </si>
  <si>
    <t>54-4г-2020</t>
  </si>
  <si>
    <t>54-2з-2020</t>
  </si>
  <si>
    <t>54-23гн 2020</t>
  </si>
  <si>
    <t>54-25 м 2020</t>
  </si>
  <si>
    <t>54-4м-2020</t>
  </si>
  <si>
    <t>54-21м-2020</t>
  </si>
  <si>
    <t>КОТЛЕТЫ ИЗ ГОВЯДИНЫ(</t>
  </si>
  <si>
    <t>ИЗДЕЛИЕ КОНДИТЕРСКОЕ( конфета)</t>
  </si>
  <si>
    <t>54-13-З-2020</t>
  </si>
  <si>
    <t>54-8з-2020</t>
  </si>
  <si>
    <t>3г</t>
  </si>
  <si>
    <t xml:space="preserve">КОТЛЕТЫ ИЗ ГОВЯИНЫ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</si>
</sst>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9" x14ac:knownFonts="1">
    <font>
      <sz val="11"/>
      <color theme="1"/>
      <name val="Calibri"/>
      <family val="2"/>
      <charset val="204"/>
      <scheme val="minor"/>
    </font>
    <font>
      <sz val="12"/>
      <name val="Times New Roman"/>
      <family val="1"/>
      <charset val="204"/>
    </font>
    <font>
      <b/>
      <sz val="12"/>
      <name val="Times New Roman"/>
      <family val="1"/>
      <charset val="204"/>
    </font>
    <font>
      <b/>
      <i/>
      <sz val="12"/>
      <name val="Times New Roman"/>
      <family val="1"/>
      <charset val="204"/>
    </font>
    <font>
      <b/>
      <vertAlign val="subscript"/>
      <sz val="12"/>
      <name val="Times New Roman"/>
      <family val="1"/>
      <charset val="204"/>
    </font>
    <font>
      <b/>
      <sz val="12"/>
      <color rgb="FFFF0000"/>
      <name val="Times New Roman"/>
      <family val="1"/>
      <charset val="204"/>
    </font>
    <font>
      <sz val="12"/>
      <name val="Arial Cyr"/>
      <charset val="204"/>
    </font>
    <font>
      <sz val="12"/>
      <color theme="1"/>
      <name val="Times New Roman"/>
      <family val="1"/>
      <charset val="204"/>
    </font>
    <font>
      <b/>
      <sz val="12"/>
      <name val="Arial Cyr"/>
      <charset val="204"/>
    </font>
    <font>
      <sz val="10"/>
      <color theme="1"/>
      <name val="Times New Roman"/>
      <family val="1"/>
      <charset val="204"/>
    </font>
    <font>
      <sz val="10"/>
      <color rgb="FFFF0000"/>
      <name val="Times New Roman"/>
      <family val="1"/>
      <charset val="204"/>
    </font>
    <font>
      <b/>
      <sz val="10"/>
      <color theme="1"/>
      <name val="Times New Roman"/>
      <family val="1"/>
      <charset val="204"/>
    </font>
    <font>
      <b/>
      <i/>
      <sz val="10"/>
      <color theme="1"/>
      <name val="Times New Roman"/>
      <family val="1"/>
      <charset val="204"/>
    </font>
    <font>
      <b/>
      <sz val="10"/>
      <color rgb="FFFF0000"/>
      <name val="Times New Roman"/>
      <family val="1"/>
      <charset val="204"/>
    </font>
    <font>
      <sz val="10"/>
      <name val="Times New Roman"/>
      <family val="1"/>
      <charset val="204"/>
    </font>
    <font>
      <b/>
      <sz val="10"/>
      <name val="Times New Roman"/>
      <family val="1"/>
      <charset val="204"/>
    </font>
    <font>
      <b/>
      <sz val="12"/>
      <color theme="1"/>
      <name val="Times New Roman"/>
      <family val="1"/>
      <charset val="204"/>
    </font>
    <font>
      <b/>
      <vertAlign val="subscript"/>
      <sz val="12"/>
      <color indexed="8"/>
      <name val="Times New Roman"/>
      <family val="1"/>
      <charset val="204"/>
    </font>
    <font>
      <i/>
      <sz val="12"/>
      <name val="Times New Roman"/>
      <family val="1"/>
      <charset val="204"/>
    </font>
    <font>
      <sz val="11"/>
      <color theme="1"/>
      <name val="Times New Roman"/>
      <family val="1"/>
      <charset val="204"/>
    </font>
    <font>
      <b/>
      <sz val="11"/>
      <color theme="1"/>
      <name val="Calibri"/>
      <family val="2"/>
      <charset val="204"/>
      <scheme val="minor"/>
    </font>
    <font>
      <b/>
      <sz val="12"/>
      <color rgb="FF002060"/>
      <name val="Times New Roman"/>
      <family val="1"/>
      <charset val="204"/>
    </font>
    <font>
      <b/>
      <sz val="9"/>
      <color theme="1"/>
      <name val="Times New Roman"/>
      <family val="1"/>
      <charset val="204"/>
    </font>
    <font>
      <b/>
      <sz val="8"/>
      <color theme="1"/>
      <name val="Times New Roman"/>
      <family val="1"/>
      <charset val="204"/>
    </font>
    <font>
      <u/>
      <sz val="10"/>
      <color theme="1"/>
      <name val="Times New Roman"/>
      <family val="1"/>
      <charset val="204"/>
    </font>
    <font>
      <sz val="8"/>
      <color theme="1"/>
      <name val="Times New Roman"/>
      <family val="1"/>
      <charset val="204"/>
    </font>
    <font>
      <sz val="9"/>
      <color theme="1"/>
      <name val="Times New Roman"/>
      <family val="1"/>
      <charset val="204"/>
    </font>
    <font>
      <i/>
      <sz val="11"/>
      <color theme="1"/>
      <name val="Calibri"/>
      <family val="2"/>
      <charset val="204"/>
      <scheme val="minor"/>
    </font>
    <font>
      <b/>
      <i/>
      <sz val="12"/>
      <color rgb="FF92D050"/>
      <name val="Times New Roman"/>
      <family val="1"/>
      <charset val="204"/>
    </font>
    <font>
      <b/>
      <i/>
      <sz val="12"/>
      <color rgb="FFFF0000"/>
      <name val="Times New Roman"/>
      <family val="1"/>
      <charset val="204"/>
    </font>
    <font>
      <i/>
      <sz val="12"/>
      <name val="Arial Cyr"/>
      <charset val="204"/>
    </font>
    <font>
      <b/>
      <i/>
      <sz val="11"/>
      <color theme="1"/>
      <name val="Calibri"/>
      <family val="2"/>
      <charset val="204"/>
      <scheme val="minor"/>
    </font>
    <font>
      <b/>
      <i/>
      <sz val="12"/>
      <name val="Arial Cyr"/>
      <charset val="204"/>
    </font>
    <font>
      <b/>
      <sz val="11"/>
      <name val="Times New Roman"/>
      <family val="1"/>
      <charset val="204"/>
    </font>
    <font>
      <u/>
      <sz val="9"/>
      <color theme="1"/>
      <name val="Times New Roman"/>
      <family val="1"/>
      <charset val="204"/>
    </font>
    <font>
      <u/>
      <sz val="8"/>
      <color theme="1"/>
      <name val="Times New Roman"/>
      <family val="1"/>
      <charset val="204"/>
    </font>
    <font>
      <b/>
      <sz val="9"/>
      <name val="Times New Roman"/>
      <family val="1"/>
      <charset val="204"/>
    </font>
    <font>
      <sz val="8"/>
      <color rgb="FFFF0000"/>
      <name val="Times New Roman"/>
      <family val="1"/>
      <charset val="204"/>
    </font>
    <font>
      <b/>
      <sz val="8"/>
      <color rgb="FFFF0000"/>
      <name val="Times New Roman"/>
      <family val="1"/>
      <charset val="204"/>
    </font>
    <font>
      <u/>
      <sz val="8"/>
      <color rgb="FFFF0000"/>
      <name val="Times New Roman"/>
      <family val="1"/>
      <charset val="204"/>
    </font>
    <font>
      <u/>
      <sz val="10"/>
      <color rgb="FFFF0000"/>
      <name val="Times New Roman"/>
      <family val="1"/>
      <charset val="204"/>
    </font>
    <font>
      <b/>
      <sz val="9"/>
      <color rgb="FFFF0000"/>
      <name val="Times New Roman"/>
      <family val="1"/>
      <charset val="204"/>
    </font>
    <font>
      <sz val="11"/>
      <color rgb="FFFF0000"/>
      <name val="Calibri"/>
      <family val="2"/>
      <charset val="204"/>
      <scheme val="minor"/>
    </font>
    <font>
      <b/>
      <i/>
      <sz val="10"/>
      <name val="Times New Roman"/>
      <family val="1"/>
      <charset val="204"/>
    </font>
    <font>
      <sz val="16"/>
      <color theme="1"/>
      <name val="Calibri"/>
      <family val="2"/>
      <charset val="204"/>
      <scheme val="minor"/>
    </font>
    <font>
      <i/>
      <sz val="16"/>
      <color theme="1"/>
      <name val="Calibri"/>
      <family val="2"/>
      <charset val="204"/>
      <scheme val="minor"/>
    </font>
    <font>
      <sz val="8"/>
      <name val="Times New Roman"/>
      <family val="1"/>
      <charset val="204"/>
    </font>
    <font>
      <sz val="9"/>
      <name val="Times New Roman"/>
      <family val="1"/>
      <charset val="204"/>
    </font>
    <font>
      <i/>
      <sz val="20"/>
      <name val="Times New Roman"/>
      <family val="1"/>
      <charset val="204"/>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59999389629810485"/>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rgb="FF000000"/>
      </left>
      <right style="medium">
        <color rgb="FF000000"/>
      </right>
      <top style="medium">
        <color rgb="FF000000"/>
      </top>
      <bottom style="thick">
        <color rgb="FF000000"/>
      </bottom>
      <diagonal/>
    </border>
    <border>
      <left/>
      <right style="medium">
        <color rgb="FF000000"/>
      </right>
      <top style="medium">
        <color rgb="FF000000"/>
      </top>
      <bottom style="thick">
        <color rgb="FF000000"/>
      </bottom>
      <diagonal/>
    </border>
  </borders>
  <cellStyleXfs count="1">
    <xf numFmtId="0" fontId="0" fillId="0" borderId="0"/>
  </cellStyleXfs>
  <cellXfs count="547">
    <xf numFmtId="0" fontId="0" fillId="0" borderId="0" xfId="0"/>
    <xf numFmtId="0" fontId="2" fillId="0" borderId="0" xfId="0" applyFont="1" applyAlignment="1">
      <alignment horizontal="center" vertical="center"/>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textRotation="90" wrapText="1"/>
    </xf>
    <xf numFmtId="0" fontId="2" fillId="0" borderId="11" xfId="0" applyFont="1" applyFill="1" applyBorder="1" applyAlignment="1">
      <alignment horizontal="center" vertical="center" textRotation="90" wrapText="1"/>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2" fontId="1"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xf numFmtId="0" fontId="6" fillId="0" borderId="0" xfId="0" applyFont="1" applyFill="1"/>
    <xf numFmtId="0" fontId="2" fillId="0" borderId="8" xfId="0" applyFont="1" applyFill="1" applyBorder="1" applyAlignment="1">
      <alignment horizontal="center" vertical="center" textRotation="90" wrapText="1"/>
    </xf>
    <xf numFmtId="0" fontId="2" fillId="0" borderId="12" xfId="0" applyFont="1" applyFill="1" applyBorder="1" applyAlignment="1">
      <alignment horizontal="center" vertical="center"/>
    </xf>
    <xf numFmtId="0" fontId="6" fillId="0" borderId="0" xfId="0" applyFont="1" applyFill="1" applyAlignment="1">
      <alignment horizontal="center"/>
    </xf>
    <xf numFmtId="2" fontId="1" fillId="0" borderId="13" xfId="0" applyNumberFormat="1" applyFont="1" applyFill="1" applyBorder="1" applyAlignment="1">
      <alignment horizontal="center" vertical="center" wrapText="1"/>
    </xf>
    <xf numFmtId="0" fontId="2" fillId="0" borderId="0" xfId="0" applyFont="1" applyAlignment="1">
      <alignment vertical="center"/>
    </xf>
    <xf numFmtId="0" fontId="1" fillId="0" borderId="12" xfId="0" applyFont="1" applyBorder="1" applyAlignment="1">
      <alignment horizontal="center" vertical="center" wrapText="1"/>
    </xf>
    <xf numFmtId="0" fontId="1" fillId="0" borderId="13" xfId="0" applyFont="1" applyFill="1" applyBorder="1" applyAlignment="1">
      <alignment vertical="center"/>
    </xf>
    <xf numFmtId="0" fontId="0" fillId="0" borderId="0" xfId="0" applyFont="1" applyFill="1"/>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5" fillId="0" borderId="13" xfId="0" applyFont="1" applyFill="1" applyBorder="1" applyAlignment="1">
      <alignment horizontal="center" vertical="center"/>
    </xf>
    <xf numFmtId="0" fontId="2" fillId="0" borderId="12" xfId="0" applyFont="1" applyFill="1" applyBorder="1" applyAlignment="1">
      <alignment horizontal="center" vertical="center" textRotation="90" wrapText="1"/>
    </xf>
    <xf numFmtId="0" fontId="7" fillId="0" borderId="0" xfId="0" applyFont="1"/>
    <xf numFmtId="0" fontId="8" fillId="0" borderId="0" xfId="0" applyFont="1" applyFill="1" applyAlignment="1">
      <alignment horizontal="center" vertical="center"/>
    </xf>
    <xf numFmtId="0" fontId="6" fillId="0" borderId="13" xfId="0" applyFont="1" applyFill="1" applyBorder="1" applyAlignment="1">
      <alignment horizontal="center" vertical="center"/>
    </xf>
    <xf numFmtId="0" fontId="1" fillId="0" borderId="12" xfId="0" applyFont="1" applyFill="1" applyBorder="1" applyAlignment="1">
      <alignment horizontal="center" vertical="center" wrapText="1"/>
    </xf>
    <xf numFmtId="0" fontId="7" fillId="0" borderId="0" xfId="0" applyFont="1" applyFill="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2" borderId="13" xfId="0" applyFont="1" applyFill="1" applyBorder="1" applyAlignment="1">
      <alignment horizontal="center" vertical="center"/>
    </xf>
    <xf numFmtId="0" fontId="9" fillId="2" borderId="0" xfId="0" applyFont="1" applyFill="1" applyBorder="1" applyAlignment="1">
      <alignment horizontal="center" vertical="center"/>
    </xf>
    <xf numFmtId="2" fontId="11" fillId="0" borderId="13" xfId="0" applyNumberFormat="1" applyFont="1" applyBorder="1" applyAlignment="1">
      <alignment horizontal="center" vertical="center"/>
    </xf>
    <xf numFmtId="2" fontId="9" fillId="0" borderId="13" xfId="0" applyNumberFormat="1" applyFont="1" applyBorder="1" applyAlignment="1">
      <alignment horizontal="center" vertical="center"/>
    </xf>
    <xf numFmtId="2" fontId="9" fillId="0" borderId="13" xfId="0" applyNumberFormat="1" applyFont="1" applyFill="1" applyBorder="1" applyAlignment="1">
      <alignment horizontal="center" vertical="center"/>
    </xf>
    <xf numFmtId="2" fontId="10" fillId="0" borderId="0" xfId="0" applyNumberFormat="1" applyFont="1" applyAlignment="1">
      <alignment horizontal="center" vertical="center"/>
    </xf>
    <xf numFmtId="0" fontId="10" fillId="0" borderId="0" xfId="0" applyFont="1" applyBorder="1" applyAlignment="1">
      <alignment horizontal="center" vertical="center"/>
    </xf>
    <xf numFmtId="0" fontId="13" fillId="0" borderId="0" xfId="0" applyFont="1" applyFill="1" applyBorder="1" applyAlignment="1">
      <alignment horizontal="right" vertical="center"/>
    </xf>
    <xf numFmtId="2" fontId="13" fillId="3"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2" fontId="14" fillId="5" borderId="0" xfId="0" applyNumberFormat="1" applyFont="1" applyFill="1" applyBorder="1" applyAlignment="1">
      <alignment horizontal="center" vertical="center"/>
    </xf>
    <xf numFmtId="0" fontId="15" fillId="5" borderId="0" xfId="0" applyFont="1" applyFill="1" applyBorder="1" applyAlignment="1">
      <alignment horizontal="center" vertical="center"/>
    </xf>
    <xf numFmtId="0" fontId="11" fillId="0" borderId="0" xfId="0" applyFont="1" applyFill="1" applyAlignment="1">
      <alignment horizontal="center" vertical="center"/>
    </xf>
    <xf numFmtId="2" fontId="9" fillId="0" borderId="0" xfId="0" applyNumberFormat="1" applyFont="1" applyAlignment="1">
      <alignment horizontal="center" vertical="center"/>
    </xf>
    <xf numFmtId="0" fontId="9" fillId="6" borderId="0" xfId="0" applyFont="1" applyFill="1" applyAlignment="1">
      <alignment horizontal="center" vertical="center"/>
    </xf>
    <xf numFmtId="2" fontId="9" fillId="6" borderId="0" xfId="0" applyNumberFormat="1" applyFont="1" applyFill="1" applyAlignment="1">
      <alignment horizontal="center" vertical="center"/>
    </xf>
    <xf numFmtId="0" fontId="15" fillId="0" borderId="13" xfId="0" applyFont="1" applyBorder="1" applyAlignment="1">
      <alignment horizontal="center" vertical="center"/>
    </xf>
    <xf numFmtId="0" fontId="13" fillId="0" borderId="13" xfId="0" applyFont="1" applyBorder="1" applyAlignment="1">
      <alignment horizontal="center" vertical="center"/>
    </xf>
    <xf numFmtId="2" fontId="11" fillId="7" borderId="0" xfId="0" applyNumberFormat="1" applyFont="1" applyFill="1" applyAlignment="1">
      <alignment horizontal="center" vertical="center"/>
    </xf>
    <xf numFmtId="0" fontId="15" fillId="0" borderId="13" xfId="0" applyFont="1" applyFill="1" applyBorder="1" applyAlignment="1">
      <alignment horizontal="center" vertical="center"/>
    </xf>
    <xf numFmtId="2" fontId="14" fillId="0" borderId="13" xfId="0" applyNumberFormat="1" applyFont="1" applyFill="1" applyBorder="1" applyAlignment="1">
      <alignment horizontal="center" vertical="center"/>
    </xf>
    <xf numFmtId="2" fontId="10" fillId="0" borderId="13" xfId="0" applyNumberFormat="1" applyFont="1" applyFill="1" applyBorder="1" applyAlignment="1">
      <alignment horizontal="center" vertical="center"/>
    </xf>
    <xf numFmtId="2" fontId="14" fillId="0" borderId="13" xfId="0" applyNumberFormat="1" applyFont="1" applyBorder="1" applyAlignment="1">
      <alignment horizontal="center" vertical="center"/>
    </xf>
    <xf numFmtId="0" fontId="13" fillId="0" borderId="0" xfId="0" applyFont="1" applyFill="1" applyAlignment="1">
      <alignment horizontal="right" vertical="center"/>
    </xf>
    <xf numFmtId="2" fontId="13" fillId="0" borderId="0" xfId="0" applyNumberFormat="1" applyFont="1" applyFill="1" applyAlignment="1">
      <alignment horizontal="center" vertical="center"/>
    </xf>
    <xf numFmtId="0" fontId="9" fillId="0" borderId="0" xfId="0" applyFont="1" applyFill="1" applyAlignment="1">
      <alignment horizontal="center" vertical="center"/>
    </xf>
    <xf numFmtId="0" fontId="11" fillId="8" borderId="0" xfId="0" applyFont="1" applyFill="1" applyAlignment="1">
      <alignment horizontal="center" vertical="center"/>
    </xf>
    <xf numFmtId="2" fontId="13" fillId="8" borderId="0" xfId="0" applyNumberFormat="1" applyFont="1" applyFill="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2" fillId="0" borderId="13" xfId="0" applyFont="1" applyFill="1" applyBorder="1" applyAlignment="1">
      <alignment horizontal="center" vertical="center" textRotation="90" wrapText="1"/>
    </xf>
    <xf numFmtId="0" fontId="16"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2" fontId="7" fillId="0" borderId="13" xfId="0" applyNumberFormat="1" applyFont="1" applyBorder="1" applyAlignment="1">
      <alignment horizontal="center" vertical="center"/>
    </xf>
    <xf numFmtId="0" fontId="3" fillId="0" borderId="13" xfId="0" applyFont="1" applyBorder="1" applyAlignment="1">
      <alignment horizontal="left" vertical="center"/>
    </xf>
    <xf numFmtId="0" fontId="3" fillId="0" borderId="13" xfId="0" applyFont="1" applyBorder="1" applyAlignment="1">
      <alignment horizontal="right" vertical="center"/>
    </xf>
    <xf numFmtId="2" fontId="2" fillId="0" borderId="13" xfId="0" applyNumberFormat="1" applyFont="1" applyBorder="1" applyAlignment="1">
      <alignment horizontal="center" vertical="center"/>
    </xf>
    <xf numFmtId="0" fontId="7" fillId="0" borderId="20" xfId="0" applyFont="1" applyBorder="1" applyAlignment="1">
      <alignment horizontal="center" vertical="center"/>
    </xf>
    <xf numFmtId="0" fontId="2" fillId="0" borderId="13" xfId="0" applyFont="1" applyBorder="1" applyAlignment="1">
      <alignment horizontal="center" vertical="center"/>
    </xf>
    <xf numFmtId="2" fontId="2" fillId="0" borderId="0" xfId="0" applyNumberFormat="1" applyFont="1" applyAlignment="1">
      <alignment horizontal="center" vertical="center"/>
    </xf>
    <xf numFmtId="0" fontId="2" fillId="11" borderId="0" xfId="0" applyFont="1" applyFill="1" applyAlignment="1">
      <alignment horizontal="center" vertical="center"/>
    </xf>
    <xf numFmtId="2" fontId="7" fillId="0" borderId="0" xfId="0" applyNumberFormat="1" applyFont="1" applyFill="1" applyBorder="1" applyAlignment="1">
      <alignment horizontal="center" vertical="center"/>
    </xf>
    <xf numFmtId="2" fontId="7" fillId="0" borderId="0" xfId="0" applyNumberFormat="1" applyFont="1" applyAlignment="1">
      <alignment horizontal="center" vertical="center"/>
    </xf>
    <xf numFmtId="2" fontId="3" fillId="0" borderId="13" xfId="0" applyNumberFormat="1" applyFont="1" applyBorder="1" applyAlignment="1">
      <alignment horizontal="center" vertical="center"/>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2" fontId="9" fillId="0" borderId="13"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0" fontId="2" fillId="0" borderId="13" xfId="0" applyFont="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2" fontId="19" fillId="0" borderId="13" xfId="0" applyNumberFormat="1" applyFont="1" applyBorder="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2" fillId="0" borderId="0" xfId="0" applyFont="1" applyFill="1"/>
    <xf numFmtId="3" fontId="2" fillId="0" borderId="13"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0" xfId="0" applyFont="1"/>
    <xf numFmtId="0" fontId="20" fillId="0" borderId="0" xfId="0" applyFont="1" applyFill="1"/>
    <xf numFmtId="0" fontId="20" fillId="0" borderId="0" xfId="0" applyFont="1" applyFill="1" applyAlignment="1">
      <alignment vertical="top"/>
    </xf>
    <xf numFmtId="0" fontId="20" fillId="0" borderId="0" xfId="0" applyFont="1" applyFill="1" applyAlignment="1"/>
    <xf numFmtId="0" fontId="20" fillId="0" borderId="0" xfId="0" applyFont="1"/>
    <xf numFmtId="0" fontId="21" fillId="0" borderId="0" xfId="0" applyFont="1"/>
    <xf numFmtId="0" fontId="21" fillId="0" borderId="0" xfId="0" applyFont="1" applyFill="1"/>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11" fillId="0" borderId="13" xfId="0" applyFont="1" applyBorder="1" applyAlignment="1">
      <alignment horizontal="center" vertical="center"/>
    </xf>
    <xf numFmtId="0" fontId="11" fillId="0" borderId="0" xfId="0" applyFont="1" applyBorder="1" applyAlignment="1">
      <alignment horizontal="right" vertical="center"/>
    </xf>
    <xf numFmtId="2" fontId="10" fillId="0" borderId="13" xfId="0" applyNumberFormat="1" applyFont="1" applyBorder="1" applyAlignment="1">
      <alignment horizontal="center" vertical="center"/>
    </xf>
    <xf numFmtId="9" fontId="11" fillId="0" borderId="0" xfId="0" applyNumberFormat="1" applyFont="1" applyFill="1" applyAlignment="1">
      <alignment horizontal="right" vertical="center"/>
    </xf>
    <xf numFmtId="0" fontId="11"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22"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9" fillId="0" borderId="13" xfId="0" applyFont="1" applyBorder="1" applyAlignment="1">
      <alignment vertical="center"/>
    </xf>
    <xf numFmtId="49" fontId="9" fillId="0" borderId="13" xfId="0" applyNumberFormat="1" applyFont="1" applyBorder="1" applyAlignment="1">
      <alignment horizontal="center" vertical="center"/>
    </xf>
    <xf numFmtId="0" fontId="11" fillId="0" borderId="0" xfId="0" applyFont="1" applyAlignment="1">
      <alignment vertical="center" wrapText="1"/>
    </xf>
    <xf numFmtId="0" fontId="11" fillId="0" borderId="14" xfId="0" applyFont="1" applyBorder="1" applyAlignment="1">
      <alignment vertical="center"/>
    </xf>
    <xf numFmtId="0" fontId="11" fillId="0" borderId="16" xfId="0" applyFont="1" applyBorder="1" applyAlignment="1">
      <alignment vertical="center"/>
    </xf>
    <xf numFmtId="0" fontId="0" fillId="0" borderId="0" xfId="0" applyAlignment="1">
      <alignment vertical="center"/>
    </xf>
    <xf numFmtId="0" fontId="9" fillId="0" borderId="14" xfId="0" applyFont="1" applyBorder="1" applyAlignment="1">
      <alignment vertical="center"/>
    </xf>
    <xf numFmtId="0" fontId="9" fillId="0" borderId="16" xfId="0" applyFont="1" applyBorder="1" applyAlignment="1">
      <alignment vertical="center"/>
    </xf>
    <xf numFmtId="0" fontId="9" fillId="0" borderId="0" xfId="0" applyFont="1" applyAlignment="1">
      <alignment vertical="center"/>
    </xf>
    <xf numFmtId="9" fontId="1" fillId="10" borderId="13" xfId="0" applyNumberFormat="1" applyFont="1" applyFill="1" applyBorder="1" applyAlignment="1">
      <alignment horizontal="center" vertical="center" wrapText="1"/>
    </xf>
    <xf numFmtId="0" fontId="2" fillId="0" borderId="0" xfId="0" applyFont="1" applyAlignment="1">
      <alignment vertical="center" wrapText="1"/>
    </xf>
    <xf numFmtId="0" fontId="28"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9" fillId="0" borderId="13"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27" fillId="0" borderId="0" xfId="0" applyFont="1" applyFill="1"/>
    <xf numFmtId="0" fontId="28" fillId="0" borderId="12" xfId="0" applyFont="1" applyFill="1" applyBorder="1" applyAlignment="1">
      <alignment horizontal="center" vertical="center"/>
    </xf>
    <xf numFmtId="0" fontId="18" fillId="0" borderId="14" xfId="0" applyFont="1" applyFill="1" applyBorder="1" applyAlignment="1">
      <alignment horizontal="left" vertical="center" wrapText="1"/>
    </xf>
    <xf numFmtId="0" fontId="27" fillId="0" borderId="0" xfId="0" applyFont="1"/>
    <xf numFmtId="0" fontId="11" fillId="0" borderId="0" xfId="0" applyFont="1" applyAlignment="1">
      <alignment vertical="top" wrapText="1"/>
    </xf>
    <xf numFmtId="2" fontId="9" fillId="0" borderId="0" xfId="0" applyNumberFormat="1" applyFont="1" applyBorder="1" applyAlignment="1">
      <alignment horizontal="center" vertical="center"/>
    </xf>
    <xf numFmtId="0" fontId="11" fillId="0" borderId="13" xfId="0" applyFont="1" applyBorder="1" applyAlignment="1">
      <alignment horizontal="center" vertical="center" wrapText="1"/>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11" fillId="0" borderId="13" xfId="0" applyFont="1" applyBorder="1" applyAlignment="1">
      <alignment horizontal="center" vertical="center"/>
    </xf>
    <xf numFmtId="0" fontId="9" fillId="0" borderId="0" xfId="0" applyFont="1" applyAlignment="1">
      <alignment horizontal="left" vertical="center"/>
    </xf>
    <xf numFmtId="0" fontId="11" fillId="0" borderId="14" xfId="0" applyFont="1" applyBorder="1" applyAlignment="1">
      <alignment horizontal="center" vertical="center"/>
    </xf>
    <xf numFmtId="0" fontId="9" fillId="0" borderId="0" xfId="0" applyFont="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11" fillId="0" borderId="0" xfId="0" applyFont="1" applyAlignment="1">
      <alignment horizontal="left" vertical="center" wrapText="1"/>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11" fillId="0" borderId="13" xfId="0" applyFont="1" applyBorder="1" applyAlignment="1">
      <alignment horizontal="center" vertical="center"/>
    </xf>
    <xf numFmtId="0" fontId="9" fillId="0" borderId="0" xfId="0" applyFont="1" applyAlignment="1">
      <alignment horizontal="left" vertical="center"/>
    </xf>
    <xf numFmtId="0" fontId="11" fillId="0" borderId="14" xfId="0" applyFont="1" applyBorder="1" applyAlignment="1">
      <alignment horizontal="center" vertical="center"/>
    </xf>
    <xf numFmtId="0" fontId="9" fillId="0" borderId="0" xfId="0" applyFont="1" applyAlignment="1">
      <alignment horizontal="center" vertical="center"/>
    </xf>
    <xf numFmtId="0" fontId="26" fillId="0" borderId="14" xfId="0" applyFont="1" applyBorder="1" applyAlignment="1">
      <alignment horizontal="left" vertical="center"/>
    </xf>
    <xf numFmtId="0" fontId="26" fillId="0" borderId="16" xfId="0" applyFont="1" applyBorder="1" applyAlignment="1">
      <alignment horizontal="left" vertical="center"/>
    </xf>
    <xf numFmtId="0" fontId="11" fillId="0" borderId="0" xfId="0" applyFont="1" applyAlignment="1">
      <alignment horizontal="left" vertical="top"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Fill="1" applyAlignment="1">
      <alignment vertical="center"/>
    </xf>
    <xf numFmtId="0" fontId="9" fillId="0" borderId="0" xfId="0" applyFont="1" applyFill="1"/>
    <xf numFmtId="0" fontId="30" fillId="0" borderId="0" xfId="0" applyFont="1" applyFill="1" applyAlignment="1">
      <alignment horizontal="left" vertical="center"/>
    </xf>
    <xf numFmtId="0" fontId="3" fillId="0" borderId="13" xfId="0" applyFont="1" applyFill="1" applyBorder="1" applyAlignment="1">
      <alignment vertical="center"/>
    </xf>
    <xf numFmtId="0" fontId="18"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31" fillId="0" borderId="0" xfId="0" applyFont="1"/>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30" fillId="0" borderId="18" xfId="0" applyFont="1" applyFill="1" applyBorder="1" applyAlignment="1">
      <alignment horizontal="left" vertical="center"/>
    </xf>
    <xf numFmtId="0" fontId="30" fillId="0" borderId="16" xfId="0" applyFont="1" applyFill="1" applyBorder="1" applyAlignment="1">
      <alignment horizontal="left" vertical="center"/>
    </xf>
    <xf numFmtId="0" fontId="11" fillId="0" borderId="13" xfId="0" applyFont="1" applyFill="1" applyBorder="1" applyAlignment="1">
      <alignment horizontal="left" vertical="center" wrapText="1"/>
    </xf>
    <xf numFmtId="4" fontId="1" fillId="0" borderId="13" xfId="0" applyNumberFormat="1" applyFont="1" applyFill="1" applyBorder="1" applyAlignment="1">
      <alignment horizontal="center" vertical="center"/>
    </xf>
    <xf numFmtId="0" fontId="25" fillId="0" borderId="13" xfId="0" applyFont="1" applyBorder="1" applyAlignment="1">
      <alignment horizontal="center" vertical="center" wrapText="1"/>
    </xf>
    <xf numFmtId="0" fontId="2" fillId="0" borderId="2" xfId="0" applyFont="1" applyFill="1" applyBorder="1" applyAlignment="1">
      <alignment horizontal="center" vertical="center" wrapText="1"/>
    </xf>
    <xf numFmtId="0" fontId="11" fillId="0" borderId="0" xfId="0" applyFont="1" applyAlignment="1">
      <alignment horizontal="left" vertical="center" wrapText="1"/>
    </xf>
    <xf numFmtId="0" fontId="11" fillId="0" borderId="13"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 xfId="0" applyFont="1" applyFill="1" applyBorder="1" applyAlignment="1">
      <alignment horizontal="center" vertical="center" wrapText="1"/>
    </xf>
    <xf numFmtId="0" fontId="11" fillId="0" borderId="13"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9" fillId="0" borderId="0" xfId="0" applyFont="1" applyAlignment="1">
      <alignment vertical="center" wrapText="1"/>
    </xf>
    <xf numFmtId="0" fontId="32" fillId="0" borderId="0" xfId="0" applyFont="1" applyFill="1" applyAlignment="1">
      <alignment horizontal="left" vertical="center"/>
    </xf>
    <xf numFmtId="0" fontId="18" fillId="0" borderId="12" xfId="0" applyFont="1" applyBorder="1" applyAlignment="1">
      <alignment horizontal="center" vertical="center" wrapText="1"/>
    </xf>
    <xf numFmtId="0" fontId="31" fillId="0" borderId="0" xfId="0" applyFont="1" applyAlignment="1">
      <alignment horizontal="left"/>
    </xf>
    <xf numFmtId="0" fontId="3" fillId="0" borderId="12" xfId="0" applyFont="1" applyFill="1" applyBorder="1" applyAlignment="1">
      <alignment horizontal="left" vertical="center" wrapText="1"/>
    </xf>
    <xf numFmtId="0" fontId="0" fillId="0" borderId="0" xfId="0" applyFont="1" applyFill="1" applyAlignment="1">
      <alignment horizontal="left"/>
    </xf>
    <xf numFmtId="0" fontId="9" fillId="0" borderId="21" xfId="0" applyFont="1" applyBorder="1" applyAlignment="1">
      <alignment vertical="center"/>
    </xf>
    <xf numFmtId="0" fontId="9" fillId="0" borderId="0" xfId="0" applyFont="1" applyBorder="1" applyAlignment="1">
      <alignment vertical="center"/>
    </xf>
    <xf numFmtId="0" fontId="11" fillId="0" borderId="13" xfId="0" applyFont="1" applyBorder="1" applyAlignment="1">
      <alignment horizontal="center" vertical="center"/>
    </xf>
    <xf numFmtId="0" fontId="9" fillId="0" borderId="21" xfId="0" applyFont="1" applyBorder="1"/>
    <xf numFmtId="0" fontId="9" fillId="0" borderId="0" xfId="0" applyFont="1" applyBorder="1"/>
    <xf numFmtId="0" fontId="8" fillId="0" borderId="13" xfId="0" applyFont="1" applyFill="1" applyBorder="1" applyAlignment="1">
      <alignment horizontal="center" vertical="center"/>
    </xf>
    <xf numFmtId="0" fontId="32" fillId="0" borderId="13" xfId="0" applyFont="1" applyFill="1" applyBorder="1" applyAlignment="1">
      <alignment horizontal="center" vertical="center"/>
    </xf>
    <xf numFmtId="0" fontId="27" fillId="0" borderId="0" xfId="0" applyFont="1" applyAlignment="1">
      <alignment horizontal="left"/>
    </xf>
    <xf numFmtId="0" fontId="11" fillId="0" borderId="0" xfId="0" applyFont="1" applyBorder="1" applyAlignment="1">
      <alignment vertical="center" wrapText="1"/>
    </xf>
    <xf numFmtId="0" fontId="9" fillId="0" borderId="13" xfId="0" applyNumberFormat="1" applyFont="1" applyBorder="1" applyAlignment="1">
      <alignment horizontal="center" vertical="center"/>
    </xf>
    <xf numFmtId="0" fontId="7" fillId="0" borderId="0" xfId="0" applyFont="1" applyAlignment="1">
      <alignment horizontal="left" vertical="center"/>
    </xf>
    <xf numFmtId="0" fontId="33" fillId="10" borderId="1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7" fillId="0" borderId="0" xfId="0" applyFont="1" applyAlignment="1">
      <alignment vertical="center"/>
    </xf>
    <xf numFmtId="0" fontId="2" fillId="9" borderId="13" xfId="0" applyFont="1" applyFill="1" applyBorder="1" applyAlignment="1">
      <alignment horizontal="center" vertical="center" wrapText="1"/>
    </xf>
    <xf numFmtId="0" fontId="7" fillId="12" borderId="13" xfId="0" applyFont="1" applyFill="1" applyBorder="1" applyAlignment="1">
      <alignment horizontal="center" vertical="center"/>
    </xf>
    <xf numFmtId="0" fontId="20" fillId="0" borderId="0" xfId="0" applyFont="1" applyAlignment="1">
      <alignment horizontal="center" vertical="center"/>
    </xf>
    <xf numFmtId="0" fontId="1" fillId="10" borderId="1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9" fillId="0" borderId="0" xfId="0" applyFont="1" applyAlignment="1">
      <alignment horizontal="center" vertical="center"/>
    </xf>
    <xf numFmtId="0" fontId="16" fillId="12" borderId="13" xfId="0" applyFont="1" applyFill="1" applyBorder="1" applyAlignment="1">
      <alignment horizontal="center" vertical="center"/>
    </xf>
    <xf numFmtId="0" fontId="2" fillId="12" borderId="13"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3" xfId="0" applyFont="1" applyBorder="1" applyAlignment="1">
      <alignment horizontal="left" vertical="center" wrapText="1"/>
    </xf>
    <xf numFmtId="2" fontId="9" fillId="0" borderId="13" xfId="0" applyNumberFormat="1" applyFont="1" applyBorder="1" applyAlignment="1">
      <alignment horizontal="left" vertical="center"/>
    </xf>
    <xf numFmtId="0" fontId="25" fillId="0" borderId="13" xfId="0" applyFont="1" applyBorder="1" applyAlignment="1">
      <alignment horizontal="left" vertical="center" wrapText="1"/>
    </xf>
    <xf numFmtId="0" fontId="11" fillId="0" borderId="13" xfId="0" applyFont="1" applyBorder="1" applyAlignment="1">
      <alignment horizontal="center" vertical="center"/>
    </xf>
    <xf numFmtId="0" fontId="22"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9" fillId="0" borderId="0" xfId="0" applyFont="1" applyAlignment="1">
      <alignment horizontal="center" vertical="center"/>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2"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vertical="center" wrapText="1"/>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9" fillId="0" borderId="0" xfId="0" applyFont="1" applyAlignment="1">
      <alignment horizontal="left" vertical="center"/>
    </xf>
    <xf numFmtId="0" fontId="11" fillId="0" borderId="14" xfId="0" applyFont="1" applyBorder="1" applyAlignment="1">
      <alignment horizontal="center" vertical="center"/>
    </xf>
    <xf numFmtId="0" fontId="11" fillId="0" borderId="0" xfId="0" applyFont="1" applyAlignment="1">
      <alignment horizontal="left" vertical="top" wrapText="1"/>
    </xf>
    <xf numFmtId="0" fontId="10" fillId="0" borderId="13" xfId="0" applyFont="1" applyBorder="1" applyAlignment="1">
      <alignment horizontal="center" vertical="center"/>
    </xf>
    <xf numFmtId="0" fontId="9" fillId="0" borderId="26"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13" xfId="0" applyNumberFormat="1" applyFont="1" applyBorder="1" applyAlignment="1">
      <alignment horizontal="center" vertical="center"/>
    </xf>
    <xf numFmtId="0" fontId="41" fillId="0" borderId="13" xfId="0" applyFont="1" applyBorder="1" applyAlignment="1">
      <alignment horizontal="center" vertical="center" wrapText="1"/>
    </xf>
    <xf numFmtId="0" fontId="38" fillId="0" borderId="13" xfId="0" applyFont="1" applyBorder="1" applyAlignment="1">
      <alignment horizontal="center" vertical="center" wrapText="1"/>
    </xf>
    <xf numFmtId="0" fontId="13" fillId="0" borderId="0" xfId="0" applyFont="1" applyAlignment="1">
      <alignment horizontal="left" vertical="top" wrapText="1"/>
    </xf>
    <xf numFmtId="0" fontId="9" fillId="0" borderId="18" xfId="0" applyFont="1" applyBorder="1" applyAlignment="1">
      <alignment vertical="center"/>
    </xf>
    <xf numFmtId="0" fontId="9" fillId="0" borderId="0" xfId="0" applyFont="1" applyBorder="1" applyAlignment="1">
      <alignment horizontal="center" vertical="center"/>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2" fontId="11" fillId="0" borderId="0" xfId="0" applyNumberFormat="1" applyFont="1" applyBorder="1" applyAlignment="1">
      <alignment horizontal="center" vertical="center"/>
    </xf>
    <xf numFmtId="0" fontId="11" fillId="0" borderId="12" xfId="0" applyFont="1" applyBorder="1" applyAlignment="1">
      <alignment horizontal="center" vertical="center" wrapText="1"/>
    </xf>
    <xf numFmtId="12" fontId="9" fillId="0" borderId="13" xfId="0" applyNumberFormat="1" applyFont="1" applyBorder="1" applyAlignment="1">
      <alignment horizontal="center" vertical="center"/>
    </xf>
    <xf numFmtId="0" fontId="11" fillId="0" borderId="13" xfId="0" applyFont="1" applyBorder="1" applyAlignment="1">
      <alignment horizontal="center" vertical="center"/>
    </xf>
    <xf numFmtId="0" fontId="22"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14"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center" vertical="center"/>
    </xf>
    <xf numFmtId="2" fontId="13" fillId="0" borderId="0" xfId="0" applyNumberFormat="1" applyFont="1" applyFill="1" applyBorder="1" applyAlignment="1">
      <alignment horizontal="center" vertical="center"/>
    </xf>
    <xf numFmtId="2"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wrapText="1"/>
    </xf>
    <xf numFmtId="0" fontId="42" fillId="0" borderId="0" xfId="0" applyFont="1"/>
    <xf numFmtId="0" fontId="11" fillId="0" borderId="13" xfId="0" applyFont="1" applyBorder="1" applyAlignment="1">
      <alignment horizontal="center" vertical="center" wrapText="1"/>
    </xf>
    <xf numFmtId="0" fontId="11" fillId="0" borderId="13" xfId="0" applyFont="1" applyBorder="1" applyAlignment="1">
      <alignment horizontal="center" vertical="center" textRotation="90" wrapText="1"/>
    </xf>
    <xf numFmtId="1" fontId="7" fillId="0" borderId="13" xfId="0" applyNumberFormat="1" applyFont="1" applyBorder="1" applyAlignment="1">
      <alignment horizontal="center" vertical="center"/>
    </xf>
    <xf numFmtId="0" fontId="11" fillId="2" borderId="13"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9" fillId="0" borderId="0" xfId="0" applyFont="1" applyBorder="1" applyAlignment="1">
      <alignment horizontal="center" vertical="center"/>
    </xf>
    <xf numFmtId="2" fontId="26" fillId="0" borderId="0" xfId="0" applyNumberFormat="1" applyFont="1" applyBorder="1" applyAlignment="1">
      <alignment horizontal="center" vertical="center" wrapText="1"/>
    </xf>
    <xf numFmtId="2" fontId="14"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xf>
    <xf numFmtId="0" fontId="9" fillId="0" borderId="16" xfId="0" applyFont="1" applyBorder="1" applyAlignment="1">
      <alignment horizontal="center" vertical="center" wrapText="1"/>
    </xf>
    <xf numFmtId="2" fontId="9" fillId="0" borderId="16" xfId="0" applyNumberFormat="1" applyFont="1" applyBorder="1" applyAlignment="1">
      <alignment horizontal="center" vertical="center" wrapText="1"/>
    </xf>
    <xf numFmtId="2" fontId="11" fillId="0" borderId="16" xfId="0" applyNumberFormat="1" applyFont="1" applyBorder="1" applyAlignment="1">
      <alignment horizontal="center" vertical="center"/>
    </xf>
    <xf numFmtId="0" fontId="9" fillId="0" borderId="16" xfId="0" applyFont="1" applyBorder="1" applyAlignment="1">
      <alignment horizontal="center" vertical="center"/>
    </xf>
    <xf numFmtId="2" fontId="9" fillId="0" borderId="0" xfId="0" applyNumberFormat="1" applyFont="1" applyFill="1" applyBorder="1" applyAlignment="1">
      <alignment horizontal="center" vertical="center" wrapText="1"/>
    </xf>
    <xf numFmtId="2" fontId="26"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16" xfId="0" applyFont="1" applyBorder="1" applyAlignment="1">
      <alignment horizontal="center" vertical="center"/>
    </xf>
    <xf numFmtId="2" fontId="9" fillId="0" borderId="16" xfId="0" applyNumberFormat="1" applyFont="1" applyBorder="1" applyAlignment="1">
      <alignment horizontal="center" vertical="center"/>
    </xf>
    <xf numFmtId="2" fontId="9" fillId="0" borderId="16" xfId="0" applyNumberFormat="1" applyFont="1" applyFill="1" applyBorder="1" applyAlignment="1">
      <alignment horizontal="center" vertical="center"/>
    </xf>
    <xf numFmtId="0" fontId="0" fillId="0" borderId="0" xfId="0" applyFill="1" applyBorder="1"/>
    <xf numFmtId="0" fontId="13" fillId="0" borderId="0" xfId="0" applyFont="1" applyFill="1" applyBorder="1" applyAlignment="1">
      <alignment horizontal="center" vertical="center"/>
    </xf>
    <xf numFmtId="0" fontId="2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xf>
    <xf numFmtId="9"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wrapText="1"/>
    </xf>
    <xf numFmtId="2" fontId="9" fillId="0" borderId="0" xfId="0" applyNumberFormat="1" applyFont="1" applyBorder="1" applyAlignment="1">
      <alignment vertical="center" wrapText="1"/>
    </xf>
    <xf numFmtId="2" fontId="9" fillId="0" borderId="0" xfId="0" applyNumberFormat="1" applyFont="1" applyFill="1" applyBorder="1" applyAlignment="1">
      <alignment vertical="center" wrapText="1"/>
    </xf>
    <xf numFmtId="0" fontId="42" fillId="0" borderId="0" xfId="0" applyFont="1" applyFill="1" applyBorder="1"/>
    <xf numFmtId="0" fontId="13" fillId="0" borderId="0" xfId="0" applyFont="1" applyFill="1" applyBorder="1" applyAlignment="1">
      <alignment horizontal="right" vertical="center" wrapText="1"/>
    </xf>
    <xf numFmtId="164" fontId="1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9" fillId="0" borderId="0" xfId="0" applyFont="1" applyBorder="1" applyAlignment="1">
      <alignment horizontal="center" vertical="center"/>
    </xf>
    <xf numFmtId="0" fontId="2" fillId="0" borderId="13"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44" fillId="0" borderId="0" xfId="0" applyFont="1"/>
    <xf numFmtId="0" fontId="45" fillId="0" borderId="0" xfId="0" applyFont="1"/>
    <xf numFmtId="0" fontId="9" fillId="0" borderId="0" xfId="0" applyFont="1" applyFill="1" applyAlignment="1">
      <alignment horizontal="center" vertical="center"/>
    </xf>
    <xf numFmtId="0" fontId="9" fillId="0" borderId="0" xfId="0" applyFont="1" applyAlignment="1">
      <alignment horizontal="center" vertical="center" wrapText="1"/>
    </xf>
    <xf numFmtId="16" fontId="27" fillId="0" borderId="0" xfId="0" applyNumberFormat="1" applyFont="1"/>
    <xf numFmtId="2" fontId="25" fillId="0" borderId="13"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5" fillId="0" borderId="13" xfId="0" applyFont="1" applyBorder="1" applyAlignment="1">
      <alignment horizontal="center" vertical="center"/>
    </xf>
    <xf numFmtId="2" fontId="23" fillId="0" borderId="13" xfId="0" applyNumberFormat="1"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wrapText="1"/>
    </xf>
    <xf numFmtId="0" fontId="23" fillId="0" borderId="13" xfId="0" applyFont="1" applyBorder="1" applyAlignment="1">
      <alignment horizontal="center" vertical="center" wrapText="1"/>
    </xf>
    <xf numFmtId="0" fontId="9" fillId="0" borderId="0" xfId="0" applyFont="1" applyFill="1" applyAlignment="1">
      <alignment horizontal="center" vertical="center"/>
    </xf>
    <xf numFmtId="0" fontId="9" fillId="0" borderId="0" xfId="0" applyFont="1" applyAlignment="1">
      <alignment horizontal="center" vertical="center" wrapText="1"/>
    </xf>
    <xf numFmtId="1" fontId="25" fillId="0" borderId="13" xfId="0" applyNumberFormat="1" applyFont="1" applyBorder="1" applyAlignment="1">
      <alignment horizontal="center" vertical="center"/>
    </xf>
    <xf numFmtId="0" fontId="25" fillId="0" borderId="13" xfId="0" applyNumberFormat="1" applyFont="1" applyBorder="1" applyAlignment="1">
      <alignment horizontal="center" vertical="center" wrapText="1"/>
    </xf>
    <xf numFmtId="1" fontId="25" fillId="0" borderId="13" xfId="0" applyNumberFormat="1" applyFont="1" applyBorder="1" applyAlignment="1">
      <alignment horizontal="center" vertical="center" wrapText="1"/>
    </xf>
    <xf numFmtId="2" fontId="25" fillId="0" borderId="13" xfId="0" applyNumberFormat="1" applyFont="1" applyBorder="1" applyAlignment="1">
      <alignment horizontal="center" vertical="center" wrapText="1"/>
    </xf>
    <xf numFmtId="0" fontId="25" fillId="0" borderId="13" xfId="0" applyFont="1" applyBorder="1" applyAlignment="1">
      <alignment horizontal="left" vertical="center"/>
    </xf>
    <xf numFmtId="0" fontId="23" fillId="0" borderId="13" xfId="0" applyFont="1" applyBorder="1" applyAlignment="1">
      <alignment horizontal="right" vertical="center" wrapText="1"/>
    </xf>
    <xf numFmtId="2" fontId="25" fillId="0" borderId="14" xfId="0" applyNumberFormat="1" applyFont="1" applyBorder="1" applyAlignment="1">
      <alignment horizontal="center" vertical="center" wrapText="1"/>
    </xf>
    <xf numFmtId="2" fontId="23" fillId="0" borderId="14" xfId="0" applyNumberFormat="1" applyFont="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wrapText="1"/>
    </xf>
    <xf numFmtId="0" fontId="23" fillId="0" borderId="12" xfId="0" applyFont="1" applyBorder="1" applyAlignment="1">
      <alignment horizontal="center" vertical="center" wrapText="1"/>
    </xf>
    <xf numFmtId="1" fontId="25" fillId="0" borderId="12" xfId="0" applyNumberFormat="1" applyFont="1" applyBorder="1" applyAlignment="1">
      <alignment horizontal="center" vertical="center" wrapText="1"/>
    </xf>
    <xf numFmtId="2" fontId="25" fillId="0" borderId="12" xfId="0" applyNumberFormat="1" applyFont="1" applyBorder="1" applyAlignment="1">
      <alignment horizontal="center" vertical="center" wrapText="1"/>
    </xf>
    <xf numFmtId="2" fontId="25" fillId="0" borderId="15" xfId="0" applyNumberFormat="1" applyFont="1" applyBorder="1" applyAlignment="1">
      <alignment horizontal="center" vertical="center" wrapText="1"/>
    </xf>
    <xf numFmtId="0" fontId="46" fillId="0" borderId="13" xfId="0" applyNumberFormat="1" applyFont="1" applyBorder="1" applyAlignment="1">
      <alignment horizontal="center" vertical="center" wrapText="1"/>
    </xf>
    <xf numFmtId="0" fontId="9" fillId="0" borderId="0" xfId="0" applyFont="1" applyFill="1" applyAlignment="1">
      <alignment horizontal="center" vertical="center"/>
    </xf>
    <xf numFmtId="0" fontId="9" fillId="0" borderId="0" xfId="0" applyFont="1" applyAlignment="1">
      <alignment horizontal="center" vertical="center" wrapText="1"/>
    </xf>
    <xf numFmtId="0" fontId="26" fillId="0" borderId="13" xfId="0" applyNumberFormat="1" applyFont="1" applyBorder="1" applyAlignment="1">
      <alignment horizontal="center" vertical="center" wrapText="1"/>
    </xf>
    <xf numFmtId="0" fontId="26" fillId="0" borderId="13" xfId="0" applyFont="1" applyBorder="1" applyAlignment="1">
      <alignment horizontal="left" vertical="center" wrapText="1"/>
    </xf>
    <xf numFmtId="0" fontId="26" fillId="0" borderId="13" xfId="0" applyFont="1" applyBorder="1" applyAlignment="1">
      <alignment horizontal="left" vertical="center"/>
    </xf>
    <xf numFmtId="1" fontId="26" fillId="0" borderId="13" xfId="0" applyNumberFormat="1" applyFont="1" applyBorder="1" applyAlignment="1">
      <alignment horizontal="center" vertical="center" wrapText="1"/>
    </xf>
    <xf numFmtId="2" fontId="26" fillId="0" borderId="13" xfId="0" applyNumberFormat="1" applyFont="1" applyBorder="1" applyAlignment="1">
      <alignment horizontal="center" vertical="center" wrapText="1"/>
    </xf>
    <xf numFmtId="0" fontId="9" fillId="0" borderId="0" xfId="0" applyFont="1" applyAlignment="1">
      <alignment horizontal="center" vertical="center" wrapText="1"/>
    </xf>
    <xf numFmtId="0" fontId="46" fillId="0" borderId="13" xfId="0" applyFont="1" applyBorder="1" applyAlignment="1">
      <alignment horizontal="left" vertical="center" wrapText="1"/>
    </xf>
    <xf numFmtId="1" fontId="46" fillId="0" borderId="13" xfId="0" applyNumberFormat="1" applyFont="1" applyBorder="1" applyAlignment="1">
      <alignment horizontal="center" vertical="center" wrapText="1"/>
    </xf>
    <xf numFmtId="2" fontId="46" fillId="0" borderId="13" xfId="0" applyNumberFormat="1" applyFont="1" applyBorder="1" applyAlignment="1">
      <alignment horizontal="center" vertical="center" wrapText="1"/>
    </xf>
    <xf numFmtId="2" fontId="46" fillId="0" borderId="14" xfId="0" applyNumberFormat="1" applyFont="1" applyBorder="1" applyAlignment="1">
      <alignment horizontal="center" vertical="center" wrapText="1"/>
    </xf>
    <xf numFmtId="0" fontId="46" fillId="0" borderId="13" xfId="0" applyFont="1" applyBorder="1" applyAlignment="1">
      <alignment horizontal="left" vertical="center"/>
    </xf>
    <xf numFmtId="2" fontId="26" fillId="0" borderId="14" xfId="0" applyNumberFormat="1" applyFont="1" applyBorder="1" applyAlignment="1">
      <alignment horizontal="center" vertical="center" wrapText="1"/>
    </xf>
    <xf numFmtId="0" fontId="46" fillId="0" borderId="13" xfId="0" applyNumberFormat="1" applyFont="1" applyBorder="1" applyAlignment="1">
      <alignment horizontal="center" vertical="center"/>
    </xf>
    <xf numFmtId="2" fontId="47"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0" fontId="9" fillId="0" borderId="0" xfId="0" applyFont="1" applyAlignment="1">
      <alignment horizontal="center" vertical="center" wrapText="1"/>
    </xf>
    <xf numFmtId="0" fontId="11"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Border="1" applyAlignment="1">
      <alignment horizontal="center" vertical="center"/>
    </xf>
    <xf numFmtId="0" fontId="13" fillId="0" borderId="13" xfId="0" applyFont="1" applyBorder="1" applyAlignment="1">
      <alignment horizontal="center" vertical="center"/>
    </xf>
    <xf numFmtId="0" fontId="9" fillId="0" borderId="0" xfId="0" applyFont="1" applyAlignment="1">
      <alignment horizontal="center" vertical="center" wrapText="1"/>
    </xf>
    <xf numFmtId="0" fontId="11" fillId="0" borderId="13" xfId="0" applyFont="1" applyBorder="1" applyAlignment="1">
      <alignment horizontal="center" vertical="center"/>
    </xf>
    <xf numFmtId="0" fontId="9" fillId="0" borderId="0" xfId="0" applyFont="1" applyAlignment="1">
      <alignment horizontal="center" vertical="center"/>
    </xf>
    <xf numFmtId="0" fontId="11" fillId="0" borderId="0" xfId="0" applyFont="1" applyBorder="1" applyAlignment="1">
      <alignment horizontal="center" vertical="center" wrapText="1"/>
    </xf>
    <xf numFmtId="0" fontId="9" fillId="0" borderId="0" xfId="0" applyFont="1" applyAlignment="1">
      <alignment horizontal="center" vertical="center" wrapText="1"/>
    </xf>
    <xf numFmtId="0" fontId="11"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wrapText="1"/>
    </xf>
    <xf numFmtId="2" fontId="23" fillId="0" borderId="13" xfId="0" applyNumberFormat="1" applyFont="1" applyBorder="1" applyAlignment="1">
      <alignment horizontal="center" vertical="center" wrapText="1"/>
    </xf>
    <xf numFmtId="1" fontId="23" fillId="0" borderId="13" xfId="0" applyNumberFormat="1" applyFont="1" applyBorder="1" applyAlignment="1">
      <alignment horizontal="center" vertical="center"/>
    </xf>
    <xf numFmtId="1" fontId="23" fillId="0" borderId="13" xfId="0" applyNumberFormat="1" applyFont="1" applyBorder="1" applyAlignment="1">
      <alignment horizontal="center" vertical="center" wrapText="1"/>
    </xf>
    <xf numFmtId="0" fontId="11" fillId="0" borderId="13" xfId="0" applyFont="1" applyBorder="1" applyAlignment="1">
      <alignment horizontal="center" vertical="center"/>
    </xf>
    <xf numFmtId="0" fontId="9" fillId="0" borderId="0" xfId="0" applyFont="1" applyAlignment="1">
      <alignment horizontal="center" vertical="center"/>
    </xf>
    <xf numFmtId="0" fontId="48" fillId="0" borderId="13" xfId="0" applyFont="1" applyFill="1" applyBorder="1" applyAlignment="1">
      <alignment horizontal="left" vertical="center"/>
    </xf>
    <xf numFmtId="0" fontId="47"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2" fontId="47" fillId="0" borderId="14" xfId="0" applyNumberFormat="1" applyFont="1" applyBorder="1" applyAlignment="1">
      <alignment horizontal="center" vertical="center" wrapText="1"/>
    </xf>
    <xf numFmtId="0" fontId="11" fillId="0" borderId="13" xfId="0" applyFont="1" applyBorder="1" applyAlignment="1">
      <alignment horizontal="center" vertical="center"/>
    </xf>
    <xf numFmtId="0" fontId="23" fillId="0" borderId="13"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Border="1" applyAlignment="1">
      <alignment horizontal="center" vertical="center"/>
    </xf>
    <xf numFmtId="0" fontId="13" fillId="0" borderId="13" xfId="0" applyFont="1" applyBorder="1" applyAlignment="1">
      <alignment horizontal="center" vertical="center"/>
    </xf>
    <xf numFmtId="0" fontId="9" fillId="0" borderId="0" xfId="0" applyFont="1" applyAlignment="1">
      <alignment horizontal="center" vertical="center" wrapText="1"/>
    </xf>
    <xf numFmtId="0" fontId="23" fillId="0" borderId="27" xfId="0" applyFont="1" applyBorder="1" applyAlignment="1">
      <alignment horizontal="right" vertical="center" wrapText="1"/>
    </xf>
    <xf numFmtId="2" fontId="23" fillId="0" borderId="27" xfId="0" applyNumberFormat="1" applyFont="1" applyBorder="1" applyAlignment="1">
      <alignment horizontal="center" vertical="center"/>
    </xf>
    <xf numFmtId="2" fontId="25" fillId="0" borderId="14" xfId="0" applyNumberFormat="1" applyFont="1" applyBorder="1" applyAlignment="1">
      <alignment horizontal="center" vertical="center"/>
    </xf>
    <xf numFmtId="2" fontId="46" fillId="0" borderId="13" xfId="0" applyNumberFormat="1" applyFont="1" applyFill="1" applyBorder="1" applyAlignment="1">
      <alignment horizontal="center" vertical="center"/>
    </xf>
    <xf numFmtId="0" fontId="46" fillId="9" borderId="29" xfId="0" applyFont="1" applyFill="1" applyBorder="1" applyAlignment="1">
      <alignment horizontal="center" vertical="center" wrapText="1"/>
    </xf>
    <xf numFmtId="0" fontId="46" fillId="9" borderId="30" xfId="0" applyFont="1" applyFill="1" applyBorder="1" applyAlignment="1">
      <alignment horizontal="center" vertical="center" wrapText="1"/>
    </xf>
    <xf numFmtId="0" fontId="9" fillId="0" borderId="0" xfId="0" applyFont="1" applyBorder="1" applyAlignment="1">
      <alignment horizontal="center" vertical="center"/>
    </xf>
    <xf numFmtId="0" fontId="11" fillId="0" borderId="13" xfId="0" applyFont="1" applyBorder="1" applyAlignment="1">
      <alignment horizontal="center" vertical="center"/>
    </xf>
    <xf numFmtId="0" fontId="9" fillId="0" borderId="0" xfId="0" applyFont="1" applyAlignment="1">
      <alignment horizontal="center" vertical="center"/>
    </xf>
    <xf numFmtId="0" fontId="23" fillId="0" borderId="14" xfId="0" applyFont="1" applyBorder="1" applyAlignment="1">
      <alignment horizontal="center" vertical="center" wrapText="1"/>
    </xf>
    <xf numFmtId="0" fontId="23" fillId="0" borderId="2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textRotation="90" wrapText="1"/>
    </xf>
    <xf numFmtId="0" fontId="11" fillId="0" borderId="13" xfId="0" applyFont="1" applyBorder="1" applyAlignment="1">
      <alignment horizontal="center" vertical="center"/>
    </xf>
    <xf numFmtId="0" fontId="22" fillId="0" borderId="13" xfId="0" applyFont="1" applyBorder="1" applyAlignment="1">
      <alignment horizontal="center" vertical="center" wrapText="1"/>
    </xf>
    <xf numFmtId="0" fontId="11" fillId="0" borderId="0" xfId="0" applyFont="1" applyAlignment="1">
      <alignment horizontal="center" vertical="center"/>
    </xf>
    <xf numFmtId="0" fontId="11"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16"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textRotation="90" wrapText="1"/>
    </xf>
    <xf numFmtId="0" fontId="2" fillId="0" borderId="13" xfId="0" applyFont="1" applyFill="1" applyBorder="1" applyAlignment="1">
      <alignment horizontal="center" vertical="center" textRotation="90"/>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Fill="1" applyBorder="1" applyAlignment="1">
      <alignment horizontal="center" vertical="center"/>
    </xf>
    <xf numFmtId="0" fontId="23" fillId="0" borderId="13" xfId="0" applyFont="1" applyBorder="1" applyAlignment="1">
      <alignment horizontal="center" vertical="center" wrapText="1"/>
    </xf>
    <xf numFmtId="0" fontId="2" fillId="0" borderId="26" xfId="0" applyFont="1" applyBorder="1" applyAlignment="1">
      <alignment horizontal="center" vertical="center" wrapText="1"/>
    </xf>
    <xf numFmtId="0" fontId="2" fillId="10" borderId="14"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36" fillId="10" borderId="12" xfId="0" applyFont="1" applyFill="1" applyBorder="1" applyAlignment="1">
      <alignment horizontal="center" vertical="center" wrapText="1"/>
    </xf>
    <xf numFmtId="9" fontId="16" fillId="0" borderId="19" xfId="0" applyNumberFormat="1" applyFont="1" applyBorder="1" applyAlignment="1">
      <alignment horizontal="center" vertical="center"/>
    </xf>
    <xf numFmtId="9" fontId="16" fillId="0" borderId="12" xfId="0" applyNumberFormat="1" applyFont="1" applyBorder="1" applyAlignment="1">
      <alignment horizontal="center" vertical="center"/>
    </xf>
    <xf numFmtId="0" fontId="11" fillId="6" borderId="0" xfId="0" applyFont="1" applyFill="1" applyAlignment="1">
      <alignment horizontal="center" vertical="center"/>
    </xf>
    <xf numFmtId="9" fontId="11" fillId="7" borderId="0" xfId="0" applyNumberFormat="1" applyFont="1" applyFill="1" applyAlignment="1">
      <alignment horizontal="center" vertical="center"/>
    </xf>
    <xf numFmtId="0" fontId="13" fillId="0" borderId="0" xfId="0" applyFont="1" applyFill="1" applyAlignment="1">
      <alignment horizontal="center" vertical="center"/>
    </xf>
    <xf numFmtId="49" fontId="12" fillId="0" borderId="0" xfId="0" applyNumberFormat="1" applyFont="1" applyFill="1" applyBorder="1" applyAlignment="1">
      <alignment horizontal="left" vertical="center"/>
    </xf>
    <xf numFmtId="0" fontId="2" fillId="0" borderId="2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0" xfId="0" applyFont="1" applyAlignment="1">
      <alignment horizontal="center" vertical="center"/>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9" fillId="0" borderId="26"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11" fillId="0" borderId="0" xfId="0" applyFont="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9" fillId="0" borderId="0" xfId="0" applyFont="1" applyAlignment="1">
      <alignment horizontal="left"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5" xfId="0" applyFont="1" applyBorder="1" applyAlignment="1">
      <alignment horizontal="center" vertical="center" wrapText="1"/>
    </xf>
    <xf numFmtId="0" fontId="9" fillId="0" borderId="0" xfId="0" applyFont="1" applyFill="1" applyAlignment="1">
      <alignment horizontal="center" vertical="center"/>
    </xf>
    <xf numFmtId="0" fontId="11" fillId="0" borderId="0" xfId="0" applyFont="1" applyAlignment="1">
      <alignment horizontal="left" vertical="center"/>
    </xf>
    <xf numFmtId="0" fontId="11" fillId="0" borderId="14" xfId="0" applyFont="1" applyBorder="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22" fillId="0" borderId="0" xfId="0" applyFont="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6" fillId="0" borderId="16" xfId="0" applyFont="1" applyBorder="1" applyAlignment="1">
      <alignment horizontal="left" vertical="center" wrapText="1"/>
    </xf>
    <xf numFmtId="0" fontId="11" fillId="0" borderId="18" xfId="0" applyFont="1" applyBorder="1" applyAlignment="1">
      <alignment horizontal="left" vertical="center" wrapText="1"/>
    </xf>
    <xf numFmtId="0" fontId="9" fillId="0" borderId="0" xfId="0" applyFont="1" applyAlignment="1">
      <alignment horizontal="left" vertical="center" wrapText="1"/>
    </xf>
    <xf numFmtId="0" fontId="11"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Alignment="1">
      <alignment horizontal="left" vertical="top" wrapText="1"/>
    </xf>
    <xf numFmtId="0" fontId="26" fillId="0" borderId="14" xfId="0" applyFont="1" applyBorder="1" applyAlignment="1">
      <alignment horizontal="left" vertical="center"/>
    </xf>
    <xf numFmtId="0" fontId="26" fillId="0" borderId="16" xfId="0" applyFont="1" applyBorder="1" applyAlignment="1">
      <alignment horizontal="left" vertical="center"/>
    </xf>
    <xf numFmtId="0" fontId="11" fillId="0" borderId="0" xfId="0" applyFont="1" applyFill="1" applyAlignment="1">
      <alignment horizontal="center" vertical="center"/>
    </xf>
    <xf numFmtId="0" fontId="9" fillId="0" borderId="0" xfId="0" applyFont="1" applyBorder="1" applyAlignment="1">
      <alignment horizontal="center"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37" fillId="0" borderId="14" xfId="0" applyFont="1" applyBorder="1" applyAlignment="1">
      <alignment horizontal="left" vertical="center"/>
    </xf>
    <xf numFmtId="0" fontId="37" fillId="0" borderId="16" xfId="0" applyFont="1" applyBorder="1" applyAlignment="1">
      <alignment horizontal="left" vertical="center"/>
    </xf>
    <xf numFmtId="0" fontId="22" fillId="0" borderId="0" xfId="0" applyFont="1" applyAlignment="1">
      <alignment horizontal="left" vertical="center"/>
    </xf>
    <xf numFmtId="0" fontId="26" fillId="0" borderId="0" xfId="0" applyFont="1" applyAlignment="1">
      <alignment horizontal="left" vertical="center"/>
    </xf>
    <xf numFmtId="0" fontId="11" fillId="0" borderId="14" xfId="0" applyFont="1" applyFill="1" applyBorder="1" applyAlignment="1">
      <alignment horizontal="right" vertical="center"/>
    </xf>
    <xf numFmtId="0" fontId="11" fillId="0" borderId="16" xfId="0" applyFont="1" applyFill="1" applyBorder="1" applyAlignment="1">
      <alignment horizontal="right" vertical="center"/>
    </xf>
    <xf numFmtId="2" fontId="9" fillId="0" borderId="15" xfId="0" applyNumberFormat="1" applyFont="1" applyBorder="1" applyAlignment="1">
      <alignment horizontal="center" vertical="center"/>
    </xf>
    <xf numFmtId="2" fontId="9" fillId="0" borderId="26" xfId="0" applyNumberFormat="1"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0"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right" vertical="center"/>
    </xf>
    <xf numFmtId="0" fontId="13" fillId="0" borderId="16" xfId="0" applyFont="1" applyBorder="1" applyAlignment="1">
      <alignment horizontal="right" vertical="center"/>
    </xf>
    <xf numFmtId="0" fontId="10" fillId="0" borderId="26" xfId="0" applyFont="1" applyBorder="1" applyAlignment="1">
      <alignment horizontal="center" vertical="center"/>
    </xf>
    <xf numFmtId="0" fontId="13" fillId="0" borderId="0" xfId="0" applyFont="1" applyAlignment="1">
      <alignment horizontal="left" vertical="center" wrapText="1"/>
    </xf>
    <xf numFmtId="0" fontId="9" fillId="0" borderId="24" xfId="0" applyFont="1" applyBorder="1" applyAlignment="1">
      <alignment horizontal="center" vertical="center"/>
    </xf>
    <xf numFmtId="0" fontId="3" fillId="0" borderId="4" xfId="0" applyFont="1" applyFill="1" applyBorder="1" applyAlignment="1">
      <alignment horizontal="center" vertical="center"/>
    </xf>
    <xf numFmtId="0" fontId="9" fillId="0" borderId="14" xfId="0" applyFont="1" applyBorder="1" applyAlignment="1">
      <alignment horizontal="right" vertical="center"/>
    </xf>
    <xf numFmtId="0" fontId="9" fillId="0" borderId="16" xfId="0" applyFont="1" applyBorder="1" applyAlignment="1">
      <alignment horizontal="right" vertical="center"/>
    </xf>
    <xf numFmtId="0" fontId="9" fillId="0" borderId="14" xfId="0" applyFont="1" applyBorder="1" applyAlignment="1">
      <alignment vertical="center"/>
    </xf>
    <xf numFmtId="0" fontId="9" fillId="0" borderId="16" xfId="0" applyFont="1" applyBorder="1" applyAlignment="1">
      <alignment vertical="center"/>
    </xf>
    <xf numFmtId="0" fontId="25" fillId="0" borderId="14" xfId="0" applyFont="1" applyBorder="1" applyAlignment="1">
      <alignment vertical="center"/>
    </xf>
    <xf numFmtId="0" fontId="25" fillId="0" borderId="16" xfId="0" applyFont="1" applyBorder="1" applyAlignment="1">
      <alignment vertical="center"/>
    </xf>
    <xf numFmtId="0" fontId="25" fillId="0" borderId="14" xfId="0" applyFont="1" applyBorder="1" applyAlignment="1">
      <alignment horizontal="left" vertical="center"/>
    </xf>
    <xf numFmtId="0" fontId="25" fillId="0" borderId="16" xfId="0" applyFont="1" applyBorder="1" applyAlignment="1">
      <alignment horizontal="left" vertical="center"/>
    </xf>
    <xf numFmtId="0" fontId="9" fillId="0" borderId="0" xfId="0" applyFont="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25" fillId="0" borderId="14" xfId="0" applyFont="1" applyBorder="1" applyAlignment="1">
      <alignment vertical="center" wrapText="1"/>
    </xf>
    <xf numFmtId="0" fontId="25" fillId="0" borderId="16" xfId="0"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024%20&#1091;&#1095;%20&#1075;&#1086;&#1076;/&#1052;&#1045;&#1053;&#1070;%20&#1053;&#1086;&#1074;&#1086;&#1089;&#1080;&#1073;%20&#1089;%2012%20&#1076;&#1086;%2018%20&#1083;&#1077;&#1090;%202023%20&#10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85;&#1080;&#1075;&#1072;%201%20&#1095;&#1077;&#1090;&#1074;&#1077;&#1088;&#1090;&#1100;%20-%20&#1082;&#1086;&#1087;&#1080;&#1103;%20&#8212;%20&#1082;&#1086;&#1087;&#1080;&#1103;%20&#8212;%20&#1082;&#1086;&#1087;&#1080;&#11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2;&#1045;&#1053;&#1070;%20&#1053;&#1086;&#1074;&#1086;&#1089;&#1080;&#1073;%20&#1089;%2012%20&#1076;&#1086;%2018%20&#1083;&#1077;&#1090;%202023%20&#10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1077;&#1085;&#1102;%202022-2023&#1075;/4%20%20&#1095;&#1077;&#1090;&#1074;&#1077;&#1088;&#1090;&#1100;%202022&#1075;%20-%20&#1082;&#1086;&#1087;&#1080;&#1103;%20-%20&#1082;&#1086;&#1087;&#1080;&#1103;%20-%20&#1082;&#1086;&#1087;&#1080;&#1103;/&#1050;&#1085;&#1080;&#1075;&#1072;%203%20&#1095;&#1077;&#1090;&#1074;&#1077;&#1088;&#1090;&#1100;%20-%20&#1082;&#1086;&#1087;&#1080;&#11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2;&#1045;&#1053;&#1070;%20%20&#1074;&#1077;&#1089;&#1085;&#1072;%202024&#1091;&#1095;.&#1075;&#1086;&#1076;%207%20&#1076;&#1086;%2011%20&#1083;&#1077;&#1090;%2010%20&#1076;&#1085;&#1077;&#1081;%20-%20&#1082;&#1086;&#1087;&#1080;&#1103;%20-%20&#1082;&#1086;&#1087;&#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052;&#1077;&#1085;&#1102;%202022-2023&#1075;\3%20%20&#1095;&#1077;&#1090;&#1074;&#1077;&#1088;&#1090;&#1100;%202022&#1075;%20-%20&#1082;&#1086;&#1087;&#1080;&#1103;\&#1052;&#1045;&#1053;&#1070;%20&#1053;&#1086;&#1074;&#1086;&#1089;&#1080;&#1073;%20&#1089;%2012%20&#1076;&#1086;%2018%20&#1083;&#1077;&#1090;%202023%20&#107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052;&#1077;&#1085;&#1102;%202022-2023&#1075;\4%20%20&#1095;&#1077;&#1090;&#1074;&#1077;&#1088;&#1090;&#1100;%202022&#1075;%20-%20&#1082;&#1086;&#1087;&#1080;&#1103;%20-%20&#1082;&#1086;&#1087;&#1080;&#1103;\&#1050;&#1085;&#1080;&#1075;&#1072;%203%20&#1095;&#1077;&#1090;&#1074;&#1077;&#1088;&#1090;&#1100;%20-%20&#1082;&#1086;&#1087;&#1080;&#11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052;&#1077;&#1085;&#1102;%202022-2023&#1075;\4%20%20&#1095;&#1077;&#1090;&#1074;&#1077;&#1088;&#1090;&#1100;%202022&#1075;%20-%20&#1082;&#1086;&#1087;&#1080;&#1103;%20-%20&#1082;&#1086;&#1087;&#1080;&#1103;\&#1052;&#1045;&#1053;&#1070;%20&#1053;&#1086;&#1074;&#1086;&#1089;&#1080;&#1073;%20&#1089;%2012%20&#1076;&#1086;%2018%20&#1083;&#1077;&#1090;%202023%20&#107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84;&#1077;&#1085;&#1102;%202024-2025\&#1052;&#1045;&#1053;&#1070;%20%20&#1074;&#1077;&#1089;&#1085;&#1072;%202024&#1091;&#1095;.&#1075;&#1086;&#1076;%207%20&#1076;&#1086;%2011%20&#1083;&#1077;&#1090;%2010%20&#1076;&#1085;&#1077;&#1081;%20-%20&#1082;&#1086;&#1087;&#1080;&#1103;%20-%20&#1082;&#1086;&#1087;&#1080;&#11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1084;&#1077;&#1085;&#1102;%202024-2025\&#1050;&#1085;&#1080;&#1075;&#1072;%201%20&#1095;&#1077;&#1090;&#1074;&#1077;&#1088;&#1090;&#1100;%20-%20&#1082;&#1086;&#1087;&#1080;&#1103;%20&#8212;%20&#1082;&#1086;&#1087;&#1080;&#1103;%20&#8212;%20&#1082;&#1086;&#1087;&#1080;&#11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er\Desktop\2023-2024%20&#1091;&#1095;%20&#1075;&#1086;&#1076;\&#1052;&#1045;&#1053;&#1070;%20&#1053;&#1086;&#1074;&#1086;&#1089;&#1080;&#1073;%20%2023-24%20&#1091;&#1095;.&#1075;&#1086;&#1076;%207%20&#1076;&#1086;%2011%20&#1083;&#1077;&#1090;%20&#1082;&#1086;&#1087;&#1080;&#1103;%20-%20&#1082;&#1086;&#1087;&#1080;&#1103;%20-%20&#1082;&#1086;&#1087;&#1080;&#11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23-2024%20&#1091;&#1095;%20&#1075;&#1086;&#1076;\&#1052;&#1045;&#1053;&#1070;%20&#1053;&#1086;&#1074;&#1086;&#1089;&#1080;&#1073;%20&#1089;%2012%20&#1076;&#1086;%2018%20&#1083;&#1077;&#1090;%202023%20&#107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1084;&#1077;&#1085;&#1102;%202024-2025\&#1052;&#1045;&#1053;&#1070;%20%20&#1074;&#1077;&#1089;&#1085;&#1072;%202024&#1091;&#1095;.&#1075;&#1086;&#1076;%207%20&#1076;&#1086;%2011%20&#1083;&#1077;&#1090;%2010%20&#1076;&#1085;&#1077;&#1081;%20-%20&#1082;&#1086;&#1087;&#1080;&#1103;%20-%20&#1082;&#1086;&#1087;&#1080;&#1103;%20-%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дней с 7 до 11 лет"/>
      <sheetName val="РП с 7 до 11 лет"/>
      <sheetName val="Лист1 с 7 до 11 лет"/>
      <sheetName val="нормы"/>
      <sheetName val="расчеты"/>
      <sheetName val="салаты"/>
      <sheetName val="Лист1"/>
      <sheetName val="ТК_салаты_1-33"/>
      <sheetName val="мясо"/>
      <sheetName val="ТК_мясо_34-57"/>
      <sheetName val="каши"/>
      <sheetName val="ТК_каши_58-73"/>
      <sheetName val="супы"/>
      <sheetName val="ТК_супы_74-85"/>
      <sheetName val="выпечка"/>
      <sheetName val="ТК_выпечка_86-100"/>
      <sheetName val="напитки"/>
      <sheetName val="ТК_напитки_101-114"/>
      <sheetName val="ТК_соусы"/>
      <sheetName val="Cал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Перечень технологических карт для учащихся общеобразовательных учреждений</v>
          </cell>
          <cell r="B1"/>
          <cell r="C1"/>
          <cell r="D1"/>
          <cell r="E1"/>
          <cell r="F1"/>
          <cell r="G1"/>
          <cell r="H1"/>
          <cell r="I1"/>
          <cell r="J1"/>
          <cell r="K1"/>
          <cell r="L1"/>
          <cell r="M1"/>
          <cell r="N1"/>
          <cell r="O1"/>
          <cell r="P1"/>
          <cell r="Q1"/>
          <cell r="R1"/>
        </row>
        <row r="2">
          <cell r="A2" t="str">
            <v>Наименование блюда</v>
          </cell>
          <cell r="B2" t="str">
            <v>ВЫХОД</v>
          </cell>
          <cell r="C2"/>
          <cell r="D2" t="str">
            <v>Выход, г</v>
          </cell>
          <cell r="E2" t="str">
            <v>Пищевые вещества</v>
          </cell>
          <cell r="F2"/>
          <cell r="G2"/>
          <cell r="H2"/>
          <cell r="I2" t="str">
            <v>Витамины, мг</v>
          </cell>
          <cell r="J2"/>
          <cell r="K2"/>
          <cell r="L2"/>
          <cell r="M2" t="str">
            <v>Минер. вещества, мг</v>
          </cell>
          <cell r="N2"/>
          <cell r="O2"/>
          <cell r="P2"/>
          <cell r="Q2" t="str">
            <v>СБОРНИК</v>
          </cell>
          <cell r="R2"/>
        </row>
        <row r="3">
          <cell r="A3"/>
          <cell r="B3" t="str">
            <v>выход меняемый</v>
          </cell>
          <cell r="C3" t="str">
            <v>выход регламент, гр</v>
          </cell>
          <cell r="D3"/>
          <cell r="E3" t="str">
            <v>Белки, г</v>
          </cell>
          <cell r="F3" t="str">
            <v>Жиры, г</v>
          </cell>
          <cell r="G3" t="str">
            <v>Углеводы, г</v>
          </cell>
          <cell r="H3" t="str">
            <v>Энерг. ценность, ккал</v>
          </cell>
          <cell r="I3" t="str">
            <v>В1</v>
          </cell>
          <cell r="J3" t="str">
            <v>С</v>
          </cell>
          <cell r="K3" t="str">
            <v>А</v>
          </cell>
          <cell r="L3" t="str">
            <v>D</v>
          </cell>
          <cell r="M3" t="str">
            <v>Са</v>
          </cell>
          <cell r="N3" t="str">
            <v>Р</v>
          </cell>
          <cell r="O3" t="str">
            <v>Mg</v>
          </cell>
          <cell r="P3" t="str">
            <v>Fe</v>
          </cell>
          <cell r="Q3" t="str">
            <v>№ сборника</v>
          </cell>
          <cell r="R3" t="str">
            <v>год сборника</v>
          </cell>
        </row>
        <row r="4">
          <cell r="A4" t="str">
            <v>ВЫПЕЧКА</v>
          </cell>
          <cell r="B4" t="str">
            <v xml:space="preserve"> -</v>
          </cell>
          <cell r="C4" t="str">
            <v xml:space="preserve"> -</v>
          </cell>
          <cell r="D4" t="str">
            <v xml:space="preserve"> -</v>
          </cell>
          <cell r="E4" t="str">
            <v xml:space="preserve"> -</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row>
        <row r="5">
          <cell r="A5" t="str">
            <v>ПИРОЖКИ ПЕЧЕНЫЕ ИЗ ДРОЖЖЕВОГО ТЕСТА (С ЯБЛОКАМИ)</v>
          </cell>
          <cell r="B5">
            <v>75</v>
          </cell>
          <cell r="C5"/>
          <cell r="D5">
            <v>75</v>
          </cell>
          <cell r="E5">
            <v>4.1100000000000003</v>
          </cell>
          <cell r="F5">
            <v>1.44</v>
          </cell>
          <cell r="G5">
            <v>35.53</v>
          </cell>
          <cell r="H5">
            <v>125</v>
          </cell>
          <cell r="I5">
            <v>0.08</v>
          </cell>
          <cell r="J5">
            <v>0.25</v>
          </cell>
          <cell r="K5">
            <v>0</v>
          </cell>
          <cell r="L5">
            <v>0</v>
          </cell>
          <cell r="M5">
            <v>14.29</v>
          </cell>
          <cell r="N5">
            <v>40.11</v>
          </cell>
          <cell r="O5">
            <v>17.079999999999998</v>
          </cell>
          <cell r="P5">
            <v>1.17</v>
          </cell>
          <cell r="Q5">
            <v>406</v>
          </cell>
          <cell r="R5">
            <v>2011</v>
          </cell>
        </row>
        <row r="6">
          <cell r="A6"/>
          <cell r="B6"/>
          <cell r="C6"/>
          <cell r="D6">
            <v>75</v>
          </cell>
          <cell r="E6">
            <v>4.1100000000000003</v>
          </cell>
          <cell r="F6">
            <v>1.44</v>
          </cell>
          <cell r="G6">
            <v>35.53</v>
          </cell>
          <cell r="H6">
            <v>125</v>
          </cell>
          <cell r="I6">
            <v>0.08</v>
          </cell>
          <cell r="J6">
            <v>0.25</v>
          </cell>
          <cell r="K6">
            <v>0</v>
          </cell>
          <cell r="L6"/>
          <cell r="M6">
            <v>14.29</v>
          </cell>
          <cell r="N6">
            <v>40.11</v>
          </cell>
          <cell r="O6">
            <v>17.079999999999998</v>
          </cell>
          <cell r="P6">
            <v>1.17</v>
          </cell>
          <cell r="Q6"/>
          <cell r="R6"/>
        </row>
        <row r="7">
          <cell r="A7" t="str">
            <v>ПИРОЖКИ ПЕЧЕНЫЕ ИЗ ДРОЖЖЕВОГО ТЕСТА (С КАПУСТОЙ)</v>
          </cell>
          <cell r="B7">
            <v>75</v>
          </cell>
          <cell r="C7"/>
          <cell r="D7">
            <v>75</v>
          </cell>
          <cell r="E7">
            <v>4.71</v>
          </cell>
          <cell r="F7">
            <v>1.92</v>
          </cell>
          <cell r="G7">
            <v>27.53</v>
          </cell>
          <cell r="H7">
            <v>146</v>
          </cell>
          <cell r="I7">
            <v>0.08</v>
          </cell>
          <cell r="J7">
            <v>0.62</v>
          </cell>
          <cell r="K7">
            <v>6.25</v>
          </cell>
          <cell r="L7">
            <v>0</v>
          </cell>
          <cell r="M7">
            <v>18.03</v>
          </cell>
          <cell r="N7">
            <v>46.52</v>
          </cell>
          <cell r="O7">
            <v>18.28</v>
          </cell>
          <cell r="P7">
            <v>0.88</v>
          </cell>
          <cell r="Q7">
            <v>406</v>
          </cell>
          <cell r="R7">
            <v>2011</v>
          </cell>
        </row>
        <row r="8">
          <cell r="A8"/>
          <cell r="B8"/>
          <cell r="C8"/>
          <cell r="D8">
            <v>75</v>
          </cell>
          <cell r="E8">
            <v>4.71</v>
          </cell>
          <cell r="F8">
            <v>1.92</v>
          </cell>
          <cell r="G8">
            <v>27.53</v>
          </cell>
          <cell r="H8">
            <v>146</v>
          </cell>
          <cell r="I8">
            <v>0.08</v>
          </cell>
          <cell r="J8">
            <v>0.62</v>
          </cell>
          <cell r="K8">
            <v>6.25</v>
          </cell>
          <cell r="L8"/>
          <cell r="M8">
            <v>18.03</v>
          </cell>
          <cell r="N8">
            <v>46.52</v>
          </cell>
          <cell r="O8">
            <v>18.28</v>
          </cell>
          <cell r="P8">
            <v>0.88</v>
          </cell>
          <cell r="Q8"/>
          <cell r="R8"/>
        </row>
        <row r="9">
          <cell r="A9" t="str">
            <v>ПИРОЖКИ ПЕЧЕНЫЕ ИЗ ДРОЖЖЕВОГО ТЕСТА (С КАРТОФЕЛЕМ)</v>
          </cell>
          <cell r="B9">
            <v>75</v>
          </cell>
          <cell r="C9"/>
          <cell r="D9">
            <v>75</v>
          </cell>
          <cell r="E9">
            <v>4.51</v>
          </cell>
          <cell r="F9">
            <v>2.2999999999999998</v>
          </cell>
          <cell r="G9">
            <v>30.41</v>
          </cell>
          <cell r="H9">
            <v>160</v>
          </cell>
          <cell r="I9">
            <v>0.09</v>
          </cell>
          <cell r="J9">
            <v>0.5</v>
          </cell>
          <cell r="K9">
            <v>0</v>
          </cell>
          <cell r="L9">
            <v>0</v>
          </cell>
          <cell r="M9">
            <v>14.94</v>
          </cell>
          <cell r="N9">
            <v>50.34</v>
          </cell>
          <cell r="O9">
            <v>20.170000000000002</v>
          </cell>
          <cell r="P9">
            <v>0.9</v>
          </cell>
          <cell r="Q9">
            <v>406</v>
          </cell>
          <cell r="R9">
            <v>2011</v>
          </cell>
        </row>
        <row r="10">
          <cell r="A10"/>
          <cell r="B10"/>
          <cell r="C10"/>
          <cell r="D10">
            <v>75</v>
          </cell>
          <cell r="E10">
            <v>4.51</v>
          </cell>
          <cell r="F10">
            <v>2.2999999999999998</v>
          </cell>
          <cell r="G10">
            <v>30.41</v>
          </cell>
          <cell r="H10">
            <v>160</v>
          </cell>
          <cell r="I10">
            <v>0.09</v>
          </cell>
          <cell r="J10">
            <v>0.5</v>
          </cell>
          <cell r="K10">
            <v>0</v>
          </cell>
          <cell r="L10"/>
          <cell r="M10">
            <v>14.94</v>
          </cell>
          <cell r="N10">
            <v>50.34</v>
          </cell>
          <cell r="O10">
            <v>20.170000000000002</v>
          </cell>
          <cell r="P10">
            <v>0.9</v>
          </cell>
          <cell r="Q10"/>
          <cell r="R10"/>
        </row>
        <row r="11">
          <cell r="A11" t="str">
            <v>ВАТРУШКИ (ПОВИДЛО)</v>
          </cell>
          <cell r="B11">
            <v>75</v>
          </cell>
          <cell r="C11"/>
          <cell r="D11">
            <v>75</v>
          </cell>
          <cell r="E11">
            <v>4.46</v>
          </cell>
          <cell r="F11">
            <v>2.98</v>
          </cell>
          <cell r="G11">
            <v>44.12</v>
          </cell>
          <cell r="H11">
            <v>222</v>
          </cell>
          <cell r="I11">
            <v>0.08</v>
          </cell>
          <cell r="J11">
            <v>0.08</v>
          </cell>
          <cell r="K11">
            <v>18</v>
          </cell>
          <cell r="L11">
            <v>0</v>
          </cell>
          <cell r="M11">
            <v>15.6</v>
          </cell>
          <cell r="N11">
            <v>42.8</v>
          </cell>
          <cell r="O11">
            <v>17.399999999999999</v>
          </cell>
          <cell r="P11">
            <v>1.08</v>
          </cell>
          <cell r="Q11">
            <v>410</v>
          </cell>
          <cell r="R11">
            <v>2011</v>
          </cell>
        </row>
        <row r="12">
          <cell r="A12"/>
          <cell r="B12"/>
          <cell r="C12"/>
          <cell r="D12">
            <v>75</v>
          </cell>
          <cell r="E12">
            <v>4.46</v>
          </cell>
          <cell r="F12">
            <v>2.98</v>
          </cell>
          <cell r="G12">
            <v>44.12</v>
          </cell>
          <cell r="H12">
            <v>222</v>
          </cell>
          <cell r="I12">
            <v>0.08</v>
          </cell>
          <cell r="J12">
            <v>0.08</v>
          </cell>
          <cell r="K12">
            <v>18</v>
          </cell>
          <cell r="L12"/>
          <cell r="M12">
            <v>15.6</v>
          </cell>
          <cell r="N12">
            <v>42.8</v>
          </cell>
          <cell r="O12">
            <v>17.399999999999999</v>
          </cell>
          <cell r="P12">
            <v>1.08</v>
          </cell>
          <cell r="Q12"/>
          <cell r="R12"/>
        </row>
        <row r="13">
          <cell r="A13" t="str">
            <v>ВАТРУШКИ (ТВОРОГ)</v>
          </cell>
          <cell r="B13">
            <v>75</v>
          </cell>
          <cell r="C13"/>
          <cell r="D13">
            <v>75</v>
          </cell>
          <cell r="E13">
            <v>9.6041666666666661</v>
          </cell>
          <cell r="F13">
            <v>5.7083333333333339</v>
          </cell>
          <cell r="G13">
            <v>30.395833333333332</v>
          </cell>
          <cell r="H13">
            <v>210.41666666666666</v>
          </cell>
          <cell r="I13">
            <v>8.3333333333333329E-2</v>
          </cell>
          <cell r="J13">
            <v>4.1666666666666664E-2</v>
          </cell>
          <cell r="K13">
            <v>35.416666666666664</v>
          </cell>
          <cell r="L13">
            <v>0</v>
          </cell>
          <cell r="M13">
            <v>52.916666666666664</v>
          </cell>
          <cell r="N13">
            <v>93.958333333333329</v>
          </cell>
          <cell r="O13">
            <v>22.5</v>
          </cell>
          <cell r="P13">
            <v>0.9375</v>
          </cell>
          <cell r="Q13">
            <v>410</v>
          </cell>
          <cell r="R13">
            <v>2011</v>
          </cell>
        </row>
        <row r="14">
          <cell r="A14"/>
          <cell r="B14"/>
          <cell r="C14"/>
          <cell r="D14">
            <v>36</v>
          </cell>
          <cell r="E14">
            <v>4.6100000000000003</v>
          </cell>
          <cell r="F14">
            <v>2.74</v>
          </cell>
          <cell r="G14">
            <v>14.59</v>
          </cell>
          <cell r="H14">
            <v>101</v>
          </cell>
          <cell r="I14">
            <v>0.04</v>
          </cell>
          <cell r="J14">
            <v>0.02</v>
          </cell>
          <cell r="K14">
            <v>17</v>
          </cell>
          <cell r="L14"/>
          <cell r="M14">
            <v>25.4</v>
          </cell>
          <cell r="N14">
            <v>45.1</v>
          </cell>
          <cell r="O14">
            <v>10.8</v>
          </cell>
          <cell r="P14">
            <v>0.45</v>
          </cell>
          <cell r="Q14"/>
          <cell r="R14"/>
        </row>
        <row r="15">
          <cell r="A15" t="str">
            <v>ПИРОГ ОТКРЫТЫЙ</v>
          </cell>
          <cell r="B15">
            <v>1000</v>
          </cell>
          <cell r="C15"/>
          <cell r="D15">
            <v>1000</v>
          </cell>
          <cell r="E15">
            <v>61.8</v>
          </cell>
          <cell r="F15">
            <v>32.200000000000003</v>
          </cell>
          <cell r="G15">
            <v>553.20000000000005</v>
          </cell>
          <cell r="H15">
            <v>2750</v>
          </cell>
          <cell r="I15">
            <v>1.1000000000000001</v>
          </cell>
          <cell r="J15">
            <v>0.8</v>
          </cell>
          <cell r="K15">
            <v>170</v>
          </cell>
          <cell r="L15">
            <v>0</v>
          </cell>
          <cell r="M15">
            <v>195</v>
          </cell>
          <cell r="N15">
            <v>614</v>
          </cell>
          <cell r="O15">
            <v>241</v>
          </cell>
          <cell r="P15">
            <v>13.9</v>
          </cell>
          <cell r="Q15">
            <v>414</v>
          </cell>
          <cell r="R15">
            <v>2011</v>
          </cell>
        </row>
        <row r="16">
          <cell r="A16"/>
          <cell r="B16"/>
          <cell r="C16"/>
          <cell r="D16">
            <v>1000</v>
          </cell>
          <cell r="E16">
            <v>61.8</v>
          </cell>
          <cell r="F16">
            <v>32.200000000000003</v>
          </cell>
          <cell r="G16">
            <v>553.20000000000005</v>
          </cell>
          <cell r="H16">
            <v>2750</v>
          </cell>
          <cell r="I16">
            <v>1.1000000000000001</v>
          </cell>
          <cell r="J16">
            <v>0.8</v>
          </cell>
          <cell r="K16">
            <v>170</v>
          </cell>
          <cell r="L16"/>
          <cell r="M16">
            <v>195</v>
          </cell>
          <cell r="N16">
            <v>614</v>
          </cell>
          <cell r="O16">
            <v>241</v>
          </cell>
          <cell r="P16">
            <v>13.9</v>
          </cell>
          <cell r="Q16"/>
          <cell r="R16"/>
        </row>
        <row r="17">
          <cell r="A17" t="str">
            <v>СЛОЙКА С ПОВИДЛОМ</v>
          </cell>
          <cell r="B17">
            <v>75</v>
          </cell>
          <cell r="C17"/>
          <cell r="D17">
            <v>75</v>
          </cell>
          <cell r="E17">
            <v>4.78</v>
          </cell>
          <cell r="F17">
            <v>8.84</v>
          </cell>
          <cell r="G17">
            <v>38.04</v>
          </cell>
          <cell r="H17">
            <v>250</v>
          </cell>
          <cell r="I17">
            <v>0.08</v>
          </cell>
          <cell r="J17">
            <v>0</v>
          </cell>
          <cell r="K17">
            <v>12</v>
          </cell>
          <cell r="L17">
            <v>0</v>
          </cell>
          <cell r="M17">
            <v>15</v>
          </cell>
          <cell r="N17">
            <v>48</v>
          </cell>
          <cell r="O17">
            <v>17.2</v>
          </cell>
          <cell r="P17">
            <v>0.94</v>
          </cell>
          <cell r="Q17">
            <v>418</v>
          </cell>
          <cell r="R17">
            <v>2011</v>
          </cell>
        </row>
        <row r="18">
          <cell r="A18"/>
          <cell r="B18"/>
          <cell r="C18"/>
          <cell r="D18">
            <v>75</v>
          </cell>
          <cell r="E18">
            <v>4.78</v>
          </cell>
          <cell r="F18">
            <v>8.84</v>
          </cell>
          <cell r="G18">
            <v>38.04</v>
          </cell>
          <cell r="H18">
            <v>250</v>
          </cell>
          <cell r="I18">
            <v>0.08</v>
          </cell>
          <cell r="J18">
            <v>0</v>
          </cell>
          <cell r="K18">
            <v>12</v>
          </cell>
          <cell r="L18"/>
          <cell r="M18">
            <v>15</v>
          </cell>
          <cell r="N18">
            <v>48</v>
          </cell>
          <cell r="O18">
            <v>17.2</v>
          </cell>
          <cell r="P18">
            <v>0.94</v>
          </cell>
          <cell r="Q18"/>
          <cell r="R18"/>
        </row>
        <row r="19">
          <cell r="A19" t="str">
            <v>ПИРОЖКИ ПЕСОЧНЫЕ С ЯБЛОКОМ</v>
          </cell>
          <cell r="B19">
            <v>75</v>
          </cell>
          <cell r="C19"/>
          <cell r="D19">
            <v>75</v>
          </cell>
          <cell r="E19">
            <v>4.96</v>
          </cell>
          <cell r="F19">
            <v>8.14</v>
          </cell>
          <cell r="G19">
            <v>36.24</v>
          </cell>
          <cell r="H19">
            <v>238</v>
          </cell>
          <cell r="I19">
            <v>0.06</v>
          </cell>
          <cell r="J19">
            <v>0.26</v>
          </cell>
          <cell r="K19">
            <v>18</v>
          </cell>
          <cell r="L19">
            <v>0</v>
          </cell>
          <cell r="M19">
            <v>24</v>
          </cell>
          <cell r="N19">
            <v>49.8</v>
          </cell>
          <cell r="O19">
            <v>15.2</v>
          </cell>
          <cell r="P19">
            <v>1.1399999999999999</v>
          </cell>
          <cell r="Q19">
            <v>419</v>
          </cell>
          <cell r="R19">
            <v>2011</v>
          </cell>
        </row>
        <row r="20">
          <cell r="A20"/>
          <cell r="B20"/>
          <cell r="C20"/>
          <cell r="D20">
            <v>75</v>
          </cell>
          <cell r="E20">
            <v>4.96</v>
          </cell>
          <cell r="F20">
            <v>8.14</v>
          </cell>
          <cell r="G20">
            <v>36.24</v>
          </cell>
          <cell r="H20">
            <v>238</v>
          </cell>
          <cell r="I20">
            <v>0.06</v>
          </cell>
          <cell r="J20">
            <v>0.26</v>
          </cell>
          <cell r="K20">
            <v>18</v>
          </cell>
          <cell r="L20"/>
          <cell r="M20">
            <v>24</v>
          </cell>
          <cell r="N20">
            <v>49.8</v>
          </cell>
          <cell r="O20">
            <v>15.2</v>
          </cell>
          <cell r="P20">
            <v>1.1399999999999999</v>
          </cell>
          <cell r="Q20"/>
          <cell r="R20"/>
        </row>
        <row r="21">
          <cell r="A21" t="str">
            <v>БУЛОЧКА ДОМАШНЯЯ</v>
          </cell>
          <cell r="B21">
            <v>75</v>
          </cell>
          <cell r="C21"/>
          <cell r="D21">
            <v>75</v>
          </cell>
          <cell r="E21">
            <v>5.46</v>
          </cell>
          <cell r="F21">
            <v>9.39</v>
          </cell>
          <cell r="G21">
            <v>32.94</v>
          </cell>
          <cell r="H21">
            <v>238.5</v>
          </cell>
          <cell r="I21">
            <v>0.09</v>
          </cell>
          <cell r="J21">
            <v>0</v>
          </cell>
          <cell r="K21">
            <v>3</v>
          </cell>
          <cell r="L21">
            <v>0</v>
          </cell>
          <cell r="M21">
            <v>14.85</v>
          </cell>
          <cell r="N21">
            <v>52.5</v>
          </cell>
          <cell r="O21">
            <v>20.55</v>
          </cell>
          <cell r="P21">
            <v>0.97499999999999998</v>
          </cell>
          <cell r="Q21">
            <v>424</v>
          </cell>
          <cell r="R21">
            <v>2011</v>
          </cell>
        </row>
        <row r="22">
          <cell r="A22"/>
          <cell r="B22"/>
          <cell r="C22"/>
          <cell r="D22">
            <v>100</v>
          </cell>
          <cell r="E22">
            <v>7.28</v>
          </cell>
          <cell r="F22">
            <v>12.52</v>
          </cell>
          <cell r="G22">
            <v>43.92</v>
          </cell>
          <cell r="H22">
            <v>318</v>
          </cell>
          <cell r="I22">
            <v>0.12</v>
          </cell>
          <cell r="J22">
            <v>0</v>
          </cell>
          <cell r="K22">
            <v>4</v>
          </cell>
          <cell r="L22"/>
          <cell r="M22">
            <v>19.8</v>
          </cell>
          <cell r="N22">
            <v>70</v>
          </cell>
          <cell r="O22">
            <v>27.4</v>
          </cell>
          <cell r="P22">
            <v>1.3</v>
          </cell>
          <cell r="Q22"/>
          <cell r="R22"/>
        </row>
        <row r="23">
          <cell r="A23" t="str">
            <v>БУЛОЧКА ДОРОЖНАЯ</v>
          </cell>
          <cell r="B23">
            <v>75</v>
          </cell>
          <cell r="C23"/>
          <cell r="D23">
            <v>75</v>
          </cell>
          <cell r="E23">
            <v>5.085</v>
          </cell>
          <cell r="F23">
            <v>10.47</v>
          </cell>
          <cell r="G23">
            <v>31.605</v>
          </cell>
          <cell r="H23">
            <v>240.75</v>
          </cell>
          <cell r="I23">
            <v>0.09</v>
          </cell>
          <cell r="J23">
            <v>0</v>
          </cell>
          <cell r="K23">
            <v>3</v>
          </cell>
          <cell r="L23">
            <v>0</v>
          </cell>
          <cell r="M23">
            <v>13.95</v>
          </cell>
          <cell r="N23">
            <v>48.15</v>
          </cell>
          <cell r="O23">
            <v>19.649999999999999</v>
          </cell>
          <cell r="P23">
            <v>0.9</v>
          </cell>
          <cell r="Q23">
            <v>425</v>
          </cell>
          <cell r="R23">
            <v>2011</v>
          </cell>
        </row>
        <row r="24">
          <cell r="A24"/>
          <cell r="B24"/>
          <cell r="C24"/>
          <cell r="D24">
            <v>100</v>
          </cell>
          <cell r="E24">
            <v>6.78</v>
          </cell>
          <cell r="F24">
            <v>13.96</v>
          </cell>
          <cell r="G24">
            <v>42.14</v>
          </cell>
          <cell r="H24">
            <v>321</v>
          </cell>
          <cell r="I24">
            <v>0.12</v>
          </cell>
          <cell r="J24">
            <v>0</v>
          </cell>
          <cell r="K24">
            <v>4</v>
          </cell>
          <cell r="L24"/>
          <cell r="M24">
            <v>18.600000000000001</v>
          </cell>
          <cell r="N24">
            <v>64.2</v>
          </cell>
          <cell r="O24">
            <v>26.2</v>
          </cell>
          <cell r="P24">
            <v>1.2</v>
          </cell>
          <cell r="Q24"/>
          <cell r="R24"/>
        </row>
        <row r="25">
          <cell r="A25" t="str">
            <v>БУЛОЧКА С ПОВИДЛОМ ОБСЫПНАЯ</v>
          </cell>
          <cell r="B25">
            <v>75</v>
          </cell>
          <cell r="C25"/>
          <cell r="D25">
            <v>75</v>
          </cell>
          <cell r="E25">
            <v>4.95</v>
          </cell>
          <cell r="F25">
            <v>10.77</v>
          </cell>
          <cell r="G25">
            <v>30.8475</v>
          </cell>
          <cell r="H25">
            <v>240</v>
          </cell>
          <cell r="I25">
            <v>0.12</v>
          </cell>
          <cell r="J25">
            <v>0.03</v>
          </cell>
          <cell r="K25">
            <v>0</v>
          </cell>
          <cell r="L25">
            <v>0</v>
          </cell>
          <cell r="M25">
            <v>15.975</v>
          </cell>
          <cell r="N25">
            <v>57.6</v>
          </cell>
          <cell r="O25">
            <v>21.15</v>
          </cell>
          <cell r="P25">
            <v>1.0424999999999998</v>
          </cell>
          <cell r="Q25">
            <v>426</v>
          </cell>
          <cell r="R25">
            <v>2011</v>
          </cell>
        </row>
        <row r="26">
          <cell r="A26"/>
          <cell r="B26"/>
          <cell r="C26"/>
          <cell r="D26">
            <v>100</v>
          </cell>
          <cell r="E26">
            <v>6.6</v>
          </cell>
          <cell r="F26">
            <v>14.36</v>
          </cell>
          <cell r="G26">
            <v>41.13</v>
          </cell>
          <cell r="H26">
            <v>320</v>
          </cell>
          <cell r="I26">
            <v>0.16</v>
          </cell>
          <cell r="J26">
            <v>0.04</v>
          </cell>
          <cell r="K26">
            <v>0</v>
          </cell>
          <cell r="L26"/>
          <cell r="M26">
            <v>21.3</v>
          </cell>
          <cell r="N26">
            <v>76.8</v>
          </cell>
          <cell r="O26">
            <v>28.2</v>
          </cell>
          <cell r="P26">
            <v>1.39</v>
          </cell>
          <cell r="Q26"/>
          <cell r="R26"/>
        </row>
        <row r="27">
          <cell r="A27" t="str">
            <v>БУЛОЧКА "ВЕСНУШКА"</v>
          </cell>
          <cell r="B27">
            <v>50</v>
          </cell>
          <cell r="C27"/>
          <cell r="D27">
            <v>50</v>
          </cell>
          <cell r="E27">
            <v>3.9</v>
          </cell>
          <cell r="F27">
            <v>3.06</v>
          </cell>
          <cell r="G27">
            <v>23.9</v>
          </cell>
          <cell r="H27">
            <v>139</v>
          </cell>
          <cell r="I27">
            <v>7.0000000000000007E-2</v>
          </cell>
          <cell r="J27">
            <v>0</v>
          </cell>
          <cell r="K27">
            <v>3</v>
          </cell>
          <cell r="L27">
            <v>0</v>
          </cell>
          <cell r="M27">
            <v>11.3</v>
          </cell>
          <cell r="N27">
            <v>39.200000000000003</v>
          </cell>
          <cell r="O27">
            <v>15.2</v>
          </cell>
          <cell r="P27">
            <v>0.73</v>
          </cell>
          <cell r="Q27">
            <v>429</v>
          </cell>
          <cell r="R27">
            <v>2011</v>
          </cell>
        </row>
        <row r="28">
          <cell r="A28"/>
          <cell r="B28"/>
          <cell r="C28"/>
          <cell r="D28">
            <v>50</v>
          </cell>
          <cell r="E28">
            <v>3.9</v>
          </cell>
          <cell r="F28">
            <v>3.06</v>
          </cell>
          <cell r="G28">
            <v>23.9</v>
          </cell>
          <cell r="H28">
            <v>139</v>
          </cell>
          <cell r="I28">
            <v>7.0000000000000007E-2</v>
          </cell>
          <cell r="J28">
            <v>0</v>
          </cell>
          <cell r="K28">
            <v>3</v>
          </cell>
          <cell r="L28"/>
          <cell r="M28">
            <v>11.3</v>
          </cell>
          <cell r="N28">
            <v>39.200000000000003</v>
          </cell>
          <cell r="O28">
            <v>15.2</v>
          </cell>
          <cell r="P28">
            <v>0.73</v>
          </cell>
          <cell r="Q28"/>
          <cell r="R28"/>
        </row>
        <row r="29">
          <cell r="A29" t="str">
            <v>БУЛОЧКА "РОЗОВАЯ"</v>
          </cell>
          <cell r="B29">
            <v>60</v>
          </cell>
          <cell r="C29"/>
          <cell r="D29">
            <v>60</v>
          </cell>
          <cell r="E29">
            <v>4.8</v>
          </cell>
          <cell r="F29">
            <v>1.68</v>
          </cell>
          <cell r="G29">
            <v>28.16</v>
          </cell>
          <cell r="H29">
            <v>147</v>
          </cell>
          <cell r="I29">
            <v>0.08</v>
          </cell>
          <cell r="J29">
            <v>0.17</v>
          </cell>
          <cell r="K29">
            <v>2</v>
          </cell>
          <cell r="L29">
            <v>0</v>
          </cell>
          <cell r="M29">
            <v>13.9</v>
          </cell>
          <cell r="N29">
            <v>47</v>
          </cell>
          <cell r="O29">
            <v>18.7</v>
          </cell>
          <cell r="P29">
            <v>0.88</v>
          </cell>
          <cell r="Q29">
            <v>431</v>
          </cell>
          <cell r="R29">
            <v>2011</v>
          </cell>
        </row>
        <row r="30">
          <cell r="A30"/>
          <cell r="B30"/>
          <cell r="C30"/>
          <cell r="D30">
            <v>60</v>
          </cell>
          <cell r="E30">
            <v>4.8</v>
          </cell>
          <cell r="F30">
            <v>1.68</v>
          </cell>
          <cell r="G30">
            <v>28.16</v>
          </cell>
          <cell r="H30">
            <v>147</v>
          </cell>
          <cell r="I30">
            <v>0.08</v>
          </cell>
          <cell r="J30">
            <v>0.17</v>
          </cell>
          <cell r="K30">
            <v>2</v>
          </cell>
          <cell r="L30"/>
          <cell r="M30">
            <v>13.9</v>
          </cell>
          <cell r="N30">
            <v>47</v>
          </cell>
          <cell r="O30">
            <v>18.7</v>
          </cell>
          <cell r="P30">
            <v>0.88</v>
          </cell>
          <cell r="Q30"/>
          <cell r="R30"/>
        </row>
        <row r="31">
          <cell r="A31" t="str">
            <v>БУЛОЧКА "МОЛОЧНАЯ"</v>
          </cell>
          <cell r="B31">
            <v>100</v>
          </cell>
          <cell r="C31"/>
          <cell r="D31">
            <v>100</v>
          </cell>
          <cell r="E31">
            <v>9.2799999999999994</v>
          </cell>
          <cell r="F31">
            <v>1.98</v>
          </cell>
          <cell r="G31">
            <v>46.9</v>
          </cell>
          <cell r="H31">
            <v>242</v>
          </cell>
          <cell r="I31">
            <v>0.16</v>
          </cell>
          <cell r="J31">
            <v>0.26</v>
          </cell>
          <cell r="K31">
            <v>6</v>
          </cell>
          <cell r="L31">
            <v>0</v>
          </cell>
          <cell r="M31">
            <v>60.4</v>
          </cell>
          <cell r="N31">
            <v>103.4</v>
          </cell>
          <cell r="O31">
            <v>36.6</v>
          </cell>
          <cell r="P31">
            <v>1.46</v>
          </cell>
          <cell r="Q31">
            <v>434</v>
          </cell>
          <cell r="R31">
            <v>2011</v>
          </cell>
        </row>
        <row r="32">
          <cell r="A32"/>
          <cell r="B32"/>
          <cell r="C32"/>
          <cell r="D32">
            <v>50</v>
          </cell>
          <cell r="E32">
            <v>4.6399999999999997</v>
          </cell>
          <cell r="F32">
            <v>0.99</v>
          </cell>
          <cell r="G32">
            <v>23.45</v>
          </cell>
          <cell r="H32">
            <v>121</v>
          </cell>
          <cell r="I32">
            <v>0.08</v>
          </cell>
          <cell r="J32">
            <v>0.13</v>
          </cell>
          <cell r="K32">
            <v>3</v>
          </cell>
          <cell r="L32"/>
          <cell r="M32">
            <v>30.2</v>
          </cell>
          <cell r="N32">
            <v>51.7</v>
          </cell>
          <cell r="O32">
            <v>18.3</v>
          </cell>
          <cell r="P32">
            <v>0.73</v>
          </cell>
          <cell r="Q32"/>
          <cell r="R32"/>
        </row>
        <row r="33">
          <cell r="A33" t="str">
            <v>КЕКС "СТОЛИЧНЫЙ"</v>
          </cell>
          <cell r="B33">
            <v>75</v>
          </cell>
          <cell r="C33"/>
          <cell r="D33">
            <v>75</v>
          </cell>
          <cell r="E33">
            <v>4.57</v>
          </cell>
          <cell r="F33">
            <v>13.84</v>
          </cell>
          <cell r="G33">
            <v>43.06</v>
          </cell>
          <cell r="H33">
            <v>315</v>
          </cell>
          <cell r="I33">
            <v>7.0000000000000007E-2</v>
          </cell>
          <cell r="J33">
            <v>0</v>
          </cell>
          <cell r="K33">
            <v>89</v>
          </cell>
          <cell r="L33">
            <v>0</v>
          </cell>
          <cell r="M33">
            <v>27.5</v>
          </cell>
          <cell r="N33">
            <v>63.8</v>
          </cell>
          <cell r="O33">
            <v>17</v>
          </cell>
          <cell r="P33">
            <v>1.2</v>
          </cell>
          <cell r="Q33">
            <v>446</v>
          </cell>
          <cell r="R33">
            <v>2011</v>
          </cell>
        </row>
        <row r="34">
          <cell r="A34"/>
          <cell r="B34"/>
          <cell r="C34"/>
          <cell r="D34">
            <v>75</v>
          </cell>
          <cell r="E34">
            <v>4.57</v>
          </cell>
          <cell r="F34">
            <v>13.84</v>
          </cell>
          <cell r="G34">
            <v>43.06</v>
          </cell>
          <cell r="H34">
            <v>315</v>
          </cell>
          <cell r="I34">
            <v>7.0000000000000007E-2</v>
          </cell>
          <cell r="J34">
            <v>0</v>
          </cell>
          <cell r="K34">
            <v>89</v>
          </cell>
          <cell r="L34"/>
          <cell r="M34">
            <v>27.5</v>
          </cell>
          <cell r="N34">
            <v>63.8</v>
          </cell>
          <cell r="O34">
            <v>17</v>
          </cell>
          <cell r="P34">
            <v>1.2</v>
          </cell>
          <cell r="Q34"/>
          <cell r="R34"/>
        </row>
        <row r="35">
          <cell r="A35" t="str">
            <v>КЕКС "ТВОРОЖНЫЙ"</v>
          </cell>
          <cell r="B35">
            <v>50</v>
          </cell>
          <cell r="C35"/>
          <cell r="D35">
            <v>50</v>
          </cell>
          <cell r="E35">
            <v>4.71</v>
          </cell>
          <cell r="F35">
            <v>7.42</v>
          </cell>
          <cell r="G35">
            <v>25.58</v>
          </cell>
          <cell r="H35">
            <v>188</v>
          </cell>
          <cell r="I35">
            <v>0.03</v>
          </cell>
          <cell r="J35">
            <v>0.03</v>
          </cell>
          <cell r="K35">
            <v>49</v>
          </cell>
          <cell r="L35">
            <v>0</v>
          </cell>
          <cell r="M35">
            <v>26.7</v>
          </cell>
          <cell r="N35">
            <v>49.2</v>
          </cell>
          <cell r="O35">
            <v>9.1</v>
          </cell>
          <cell r="P35">
            <v>0.51</v>
          </cell>
          <cell r="Q35">
            <v>447</v>
          </cell>
          <cell r="R35">
            <v>2011</v>
          </cell>
        </row>
        <row r="36">
          <cell r="A36"/>
          <cell r="B36"/>
          <cell r="C36"/>
          <cell r="D36">
            <v>50</v>
          </cell>
          <cell r="E36">
            <v>4.71</v>
          </cell>
          <cell r="F36">
            <v>7.42</v>
          </cell>
          <cell r="G36">
            <v>25.58</v>
          </cell>
          <cell r="H36">
            <v>188</v>
          </cell>
          <cell r="I36">
            <v>0.03</v>
          </cell>
          <cell r="J36">
            <v>0.03</v>
          </cell>
          <cell r="K36">
            <v>49</v>
          </cell>
          <cell r="L36"/>
          <cell r="M36">
            <v>26.7</v>
          </cell>
          <cell r="N36">
            <v>49.2</v>
          </cell>
          <cell r="O36">
            <v>9.1</v>
          </cell>
          <cell r="P36">
            <v>0.51</v>
          </cell>
          <cell r="Q36"/>
          <cell r="R36"/>
        </row>
        <row r="37">
          <cell r="A37" t="str">
            <v>СОСИСКА В ТЕСТЕ</v>
          </cell>
          <cell r="B37">
            <v>50</v>
          </cell>
          <cell r="C37"/>
          <cell r="D37">
            <v>50</v>
          </cell>
          <cell r="E37">
            <v>4.24</v>
          </cell>
          <cell r="F37">
            <v>8.7100000000000009</v>
          </cell>
          <cell r="G37">
            <v>29.39</v>
          </cell>
          <cell r="H37">
            <v>213</v>
          </cell>
          <cell r="I37">
            <v>7.0000000000000007E-2</v>
          </cell>
          <cell r="J37">
            <v>7.0000000000000007E-2</v>
          </cell>
          <cell r="K37">
            <v>18</v>
          </cell>
          <cell r="L37">
            <v>0</v>
          </cell>
          <cell r="M37">
            <v>18.600000000000001</v>
          </cell>
          <cell r="N37">
            <v>52.1</v>
          </cell>
          <cell r="O37">
            <v>17.100000000000001</v>
          </cell>
          <cell r="P37">
            <v>0.91</v>
          </cell>
          <cell r="Q37">
            <v>450</v>
          </cell>
          <cell r="R37">
            <v>2011</v>
          </cell>
        </row>
        <row r="38">
          <cell r="A38"/>
          <cell r="B38"/>
          <cell r="C38"/>
          <cell r="D38">
            <v>50</v>
          </cell>
          <cell r="E38">
            <v>4.24</v>
          </cell>
          <cell r="F38">
            <v>8.7100000000000009</v>
          </cell>
          <cell r="G38">
            <v>29.39</v>
          </cell>
          <cell r="H38">
            <v>213</v>
          </cell>
          <cell r="I38">
            <v>7.0000000000000007E-2</v>
          </cell>
          <cell r="J38">
            <v>7.0000000000000007E-2</v>
          </cell>
          <cell r="K38">
            <v>18</v>
          </cell>
          <cell r="L38"/>
          <cell r="M38">
            <v>18.600000000000001</v>
          </cell>
          <cell r="N38">
            <v>52.1</v>
          </cell>
          <cell r="O38">
            <v>17.100000000000001</v>
          </cell>
          <cell r="P38">
            <v>0.91</v>
          </cell>
          <cell r="Q38"/>
          <cell r="R38"/>
        </row>
        <row r="39">
          <cell r="A39" t="str">
            <v>КОРЖИКИ МОЛОЧНЫЕ</v>
          </cell>
          <cell r="B39">
            <v>75</v>
          </cell>
          <cell r="C39"/>
          <cell r="D39">
            <v>75</v>
          </cell>
          <cell r="E39">
            <v>4.8899999999999997</v>
          </cell>
          <cell r="F39">
            <v>8.43</v>
          </cell>
          <cell r="G39">
            <v>47.68</v>
          </cell>
          <cell r="H39">
            <v>286</v>
          </cell>
          <cell r="I39">
            <v>0.08</v>
          </cell>
          <cell r="J39">
            <v>0.05</v>
          </cell>
          <cell r="K39">
            <v>8</v>
          </cell>
          <cell r="L39">
            <v>0</v>
          </cell>
          <cell r="M39">
            <v>19.2</v>
          </cell>
          <cell r="N39">
            <v>48.5</v>
          </cell>
          <cell r="O39">
            <v>17.8</v>
          </cell>
          <cell r="P39">
            <v>0.85</v>
          </cell>
          <cell r="Q39">
            <v>456</v>
          </cell>
          <cell r="R39">
            <v>2011</v>
          </cell>
        </row>
        <row r="40">
          <cell r="A40"/>
          <cell r="B40"/>
          <cell r="C40"/>
          <cell r="D40">
            <v>75</v>
          </cell>
          <cell r="E40">
            <v>4.8899999999999997</v>
          </cell>
          <cell r="F40">
            <v>8.43</v>
          </cell>
          <cell r="G40">
            <v>47.68</v>
          </cell>
          <cell r="H40">
            <v>286</v>
          </cell>
          <cell r="I40">
            <v>0.08</v>
          </cell>
          <cell r="J40">
            <v>0.05</v>
          </cell>
          <cell r="K40">
            <v>8</v>
          </cell>
          <cell r="L40"/>
          <cell r="M40">
            <v>19.2</v>
          </cell>
          <cell r="N40">
            <v>48.5</v>
          </cell>
          <cell r="O40">
            <v>17.8</v>
          </cell>
          <cell r="P40">
            <v>0.85</v>
          </cell>
          <cell r="Q40"/>
          <cell r="R40"/>
        </row>
        <row r="41">
          <cell r="A41" t="str">
            <v>ХЛЕБ ПШЕНИЧНЫЙ</v>
          </cell>
          <cell r="B41">
            <v>50</v>
          </cell>
          <cell r="C41"/>
          <cell r="D41">
            <v>50</v>
          </cell>
          <cell r="E41">
            <v>3.95</v>
          </cell>
          <cell r="F41">
            <v>0.5</v>
          </cell>
          <cell r="G41">
            <v>24.15</v>
          </cell>
          <cell r="H41">
            <v>116.9</v>
          </cell>
          <cell r="I41">
            <v>0.05</v>
          </cell>
          <cell r="J41">
            <v>0</v>
          </cell>
          <cell r="K41">
            <v>0</v>
          </cell>
          <cell r="L41">
            <v>0.65</v>
          </cell>
          <cell r="M41">
            <v>11.5</v>
          </cell>
          <cell r="N41">
            <v>43.5</v>
          </cell>
          <cell r="O41">
            <v>16.5</v>
          </cell>
          <cell r="P41">
            <v>0.55000000000000004</v>
          </cell>
          <cell r="Q41" t="str">
            <v>ПР</v>
          </cell>
          <cell r="R41"/>
        </row>
        <row r="42">
          <cell r="A42"/>
          <cell r="B42"/>
          <cell r="C42"/>
          <cell r="D42">
            <v>50</v>
          </cell>
          <cell r="E42">
            <v>3.95</v>
          </cell>
          <cell r="F42">
            <v>0.5</v>
          </cell>
          <cell r="G42">
            <v>24.15</v>
          </cell>
          <cell r="H42">
            <v>116.9</v>
          </cell>
          <cell r="I42">
            <v>0.05</v>
          </cell>
          <cell r="J42">
            <v>0</v>
          </cell>
          <cell r="K42">
            <v>0</v>
          </cell>
          <cell r="L42">
            <v>0.65</v>
          </cell>
          <cell r="M42">
            <v>11.5</v>
          </cell>
          <cell r="N42">
            <v>43.5</v>
          </cell>
          <cell r="O42">
            <v>16.5</v>
          </cell>
          <cell r="P42">
            <v>0.55000000000000004</v>
          </cell>
          <cell r="Q42"/>
          <cell r="R42"/>
        </row>
        <row r="43">
          <cell r="A43" t="str">
            <v>ХЛЕБ ПШЕНИЧНЫЙ</v>
          </cell>
          <cell r="B43">
            <v>30</v>
          </cell>
          <cell r="C43"/>
          <cell r="D43">
            <v>30</v>
          </cell>
          <cell r="E43">
            <v>2.37</v>
          </cell>
          <cell r="F43">
            <v>0.3</v>
          </cell>
          <cell r="G43">
            <v>14.49</v>
          </cell>
          <cell r="H43">
            <v>70.14</v>
          </cell>
          <cell r="I43">
            <v>0.03</v>
          </cell>
          <cell r="J43">
            <v>0</v>
          </cell>
          <cell r="K43">
            <v>0</v>
          </cell>
          <cell r="L43">
            <v>0.39</v>
          </cell>
          <cell r="M43">
            <v>6.9</v>
          </cell>
          <cell r="N43">
            <v>26.1</v>
          </cell>
          <cell r="O43">
            <v>9.9</v>
          </cell>
          <cell r="P43">
            <v>0.33</v>
          </cell>
          <cell r="Q43" t="str">
            <v>ПР</v>
          </cell>
          <cell r="R43"/>
        </row>
        <row r="44">
          <cell r="A44"/>
          <cell r="B44"/>
          <cell r="C44"/>
          <cell r="D44">
            <v>50</v>
          </cell>
          <cell r="E44">
            <v>3.95</v>
          </cell>
          <cell r="F44">
            <v>0.5</v>
          </cell>
          <cell r="G44">
            <v>24.15</v>
          </cell>
          <cell r="H44">
            <v>116.9</v>
          </cell>
          <cell r="I44">
            <v>0.05</v>
          </cell>
          <cell r="J44">
            <v>0</v>
          </cell>
          <cell r="K44">
            <v>0</v>
          </cell>
          <cell r="L44">
            <v>0.65</v>
          </cell>
          <cell r="M44">
            <v>11.5</v>
          </cell>
          <cell r="N44">
            <v>43.5</v>
          </cell>
          <cell r="O44">
            <v>16.5</v>
          </cell>
          <cell r="P44">
            <v>0.55000000000000004</v>
          </cell>
          <cell r="Q44"/>
          <cell r="R44"/>
        </row>
        <row r="45">
          <cell r="A45" t="str">
            <v>ХЛЕБ РЖАНО-ПШЕНИЧНЫЙ</v>
          </cell>
          <cell r="B45">
            <v>20</v>
          </cell>
          <cell r="C45"/>
          <cell r="D45">
            <v>20</v>
          </cell>
          <cell r="E45">
            <v>1.1200000000000001</v>
          </cell>
          <cell r="F45">
            <v>0.22</v>
          </cell>
          <cell r="G45">
            <v>9.8800000000000008</v>
          </cell>
          <cell r="H45">
            <v>45.98</v>
          </cell>
          <cell r="I45">
            <v>0.02</v>
          </cell>
          <cell r="J45">
            <v>0</v>
          </cell>
          <cell r="K45">
            <v>0</v>
          </cell>
          <cell r="L45">
            <v>0.18</v>
          </cell>
          <cell r="M45">
            <v>4.5999999999999996</v>
          </cell>
          <cell r="N45">
            <v>21.2</v>
          </cell>
          <cell r="O45">
            <v>5</v>
          </cell>
          <cell r="P45">
            <v>0.62</v>
          </cell>
          <cell r="Q45" t="str">
            <v>ПР</v>
          </cell>
          <cell r="R45"/>
        </row>
        <row r="46">
          <cell r="A46"/>
          <cell r="B46"/>
          <cell r="C46"/>
          <cell r="D46">
            <v>50</v>
          </cell>
          <cell r="E46">
            <v>2.8</v>
          </cell>
          <cell r="F46">
            <v>0.55000000000000004</v>
          </cell>
          <cell r="G46">
            <v>24.7</v>
          </cell>
          <cell r="H46">
            <v>114.95</v>
          </cell>
          <cell r="I46">
            <v>0.05</v>
          </cell>
          <cell r="J46">
            <v>0</v>
          </cell>
          <cell r="K46">
            <v>0</v>
          </cell>
          <cell r="L46">
            <v>0.45</v>
          </cell>
          <cell r="M46">
            <v>11.5</v>
          </cell>
          <cell r="N46">
            <v>53</v>
          </cell>
          <cell r="O46">
            <v>12.5</v>
          </cell>
          <cell r="P46">
            <v>1.55</v>
          </cell>
          <cell r="Q46"/>
          <cell r="R46"/>
        </row>
        <row r="47">
          <cell r="A47" t="str">
            <v xml:space="preserve">ХЛЕБ РЖАНО-ПШЕНИЧНЫЙ </v>
          </cell>
          <cell r="B47">
            <v>20</v>
          </cell>
          <cell r="C47"/>
          <cell r="D47">
            <v>20</v>
          </cell>
          <cell r="E47">
            <v>1.1200000000000001</v>
          </cell>
          <cell r="F47">
            <v>0.22</v>
          </cell>
          <cell r="G47">
            <v>9.8800000000000008</v>
          </cell>
          <cell r="H47">
            <v>45.98</v>
          </cell>
          <cell r="I47">
            <v>0.02</v>
          </cell>
          <cell r="J47">
            <v>0</v>
          </cell>
          <cell r="K47">
            <v>0</v>
          </cell>
          <cell r="L47">
            <v>0.18</v>
          </cell>
          <cell r="M47">
            <v>4.5999999999999996</v>
          </cell>
          <cell r="N47">
            <v>21.2</v>
          </cell>
          <cell r="O47">
            <v>5</v>
          </cell>
          <cell r="P47">
            <v>0.62</v>
          </cell>
          <cell r="Q47" t="str">
            <v>ПР</v>
          </cell>
          <cell r="R47"/>
        </row>
        <row r="48">
          <cell r="A48"/>
          <cell r="B48"/>
          <cell r="C48"/>
          <cell r="D48">
            <v>50</v>
          </cell>
          <cell r="E48">
            <v>2.8</v>
          </cell>
          <cell r="F48">
            <v>0.55000000000000004</v>
          </cell>
          <cell r="G48">
            <v>24.7</v>
          </cell>
          <cell r="H48">
            <v>114.95</v>
          </cell>
          <cell r="I48">
            <v>0.05</v>
          </cell>
          <cell r="J48">
            <v>0</v>
          </cell>
          <cell r="K48">
            <v>0</v>
          </cell>
          <cell r="L48">
            <v>0.45</v>
          </cell>
          <cell r="M48">
            <v>11.5</v>
          </cell>
          <cell r="N48">
            <v>53</v>
          </cell>
          <cell r="O48">
            <v>12.5</v>
          </cell>
          <cell r="P48">
            <v>1.55</v>
          </cell>
          <cell r="Q48"/>
          <cell r="R48"/>
        </row>
        <row r="49">
          <cell r="A49" t="str">
            <v xml:space="preserve">ИЗДЕЛИЕ КОНДИТЕРСКОЕ </v>
          </cell>
          <cell r="B49">
            <v>20</v>
          </cell>
          <cell r="C49"/>
          <cell r="D49">
            <v>20</v>
          </cell>
          <cell r="E49">
            <v>0.13</v>
          </cell>
          <cell r="F49">
            <v>0</v>
          </cell>
          <cell r="G49">
            <v>16</v>
          </cell>
          <cell r="H49">
            <v>64.510000000000005</v>
          </cell>
          <cell r="I49">
            <v>0</v>
          </cell>
          <cell r="J49">
            <v>0</v>
          </cell>
          <cell r="K49">
            <v>0</v>
          </cell>
          <cell r="L49">
            <v>0</v>
          </cell>
          <cell r="M49">
            <v>5.36</v>
          </cell>
          <cell r="N49">
            <v>2.64</v>
          </cell>
          <cell r="O49">
            <v>1.36</v>
          </cell>
          <cell r="P49">
            <v>0.24</v>
          </cell>
          <cell r="Q49" t="str">
            <v>ПР</v>
          </cell>
          <cell r="R49"/>
        </row>
        <row r="50">
          <cell r="A50"/>
          <cell r="B50"/>
          <cell r="C50"/>
          <cell r="D50">
            <v>20</v>
          </cell>
          <cell r="E50">
            <v>0.13</v>
          </cell>
          <cell r="F50"/>
          <cell r="G50">
            <v>16</v>
          </cell>
          <cell r="H50">
            <v>64.510000000000005</v>
          </cell>
          <cell r="I50">
            <v>0</v>
          </cell>
          <cell r="J50">
            <v>0</v>
          </cell>
          <cell r="K50">
            <v>0</v>
          </cell>
          <cell r="L50"/>
          <cell r="M50">
            <v>5.36</v>
          </cell>
          <cell r="N50">
            <v>2.64</v>
          </cell>
          <cell r="O50">
            <v>1.36</v>
          </cell>
          <cell r="P50">
            <v>0.24</v>
          </cell>
          <cell r="Q50"/>
          <cell r="R50"/>
        </row>
        <row r="51">
          <cell r="A51" t="str">
            <v>ИЗДЕЛИЕ КОНДИТЕРСКОЕ (ПЕЧЕНЬЕ)</v>
          </cell>
          <cell r="B51">
            <v>20</v>
          </cell>
          <cell r="C51"/>
          <cell r="D51">
            <v>20</v>
          </cell>
          <cell r="E51">
            <v>1.7</v>
          </cell>
          <cell r="F51">
            <v>2.2599999999999998</v>
          </cell>
          <cell r="G51">
            <v>73</v>
          </cell>
          <cell r="H51">
            <v>79</v>
          </cell>
          <cell r="I51">
            <v>0.02</v>
          </cell>
          <cell r="J51">
            <v>0</v>
          </cell>
          <cell r="K51">
            <v>13</v>
          </cell>
          <cell r="L51">
            <v>0.26</v>
          </cell>
          <cell r="M51">
            <v>8.1999999999999993</v>
          </cell>
          <cell r="N51">
            <v>17.399999999999999</v>
          </cell>
          <cell r="O51">
            <v>3</v>
          </cell>
          <cell r="P51">
            <v>0.2</v>
          </cell>
          <cell r="Q51" t="str">
            <v>ПР</v>
          </cell>
          <cell r="R51"/>
        </row>
        <row r="52">
          <cell r="A52"/>
          <cell r="B52"/>
          <cell r="C52"/>
          <cell r="D52">
            <v>20</v>
          </cell>
          <cell r="E52">
            <v>1.7</v>
          </cell>
          <cell r="F52">
            <v>2.2599999999999998</v>
          </cell>
          <cell r="G52">
            <v>13.94</v>
          </cell>
          <cell r="H52">
            <v>82.9</v>
          </cell>
          <cell r="I52">
            <v>0.02</v>
          </cell>
          <cell r="J52">
            <v>0</v>
          </cell>
          <cell r="K52">
            <v>13</v>
          </cell>
          <cell r="L52">
            <v>0.26</v>
          </cell>
          <cell r="M52">
            <v>8.1999999999999993</v>
          </cell>
          <cell r="N52">
            <v>17.399999999999999</v>
          </cell>
          <cell r="O52">
            <v>3</v>
          </cell>
          <cell r="P52">
            <v>0.2</v>
          </cell>
          <cell r="Q52"/>
          <cell r="R52"/>
        </row>
      </sheetData>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Лист2"/>
      <sheetName val="4"/>
      <sheetName val="5"/>
      <sheetName val="6"/>
      <sheetName val="7"/>
      <sheetName val="8"/>
      <sheetName val="Лист3"/>
      <sheetName val="9"/>
      <sheetName val="10"/>
      <sheetName val="11"/>
      <sheetName val="12"/>
      <sheetName val="Норма"/>
      <sheetName val="Cалаты"/>
      <sheetName val="Мясо"/>
      <sheetName val="Каши"/>
      <sheetName val="Супы"/>
      <sheetName val="Выпека"/>
      <sheetName val="Напитки"/>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БОРЩ С КАПУСТОЙ И КАРТОФЕЛЕМ</v>
          </cell>
          <cell r="B5">
            <v>250</v>
          </cell>
          <cell r="C5">
            <v>1000</v>
          </cell>
          <cell r="D5">
            <v>250</v>
          </cell>
          <cell r="E5">
            <v>1.8025</v>
          </cell>
          <cell r="F5">
            <v>4.92</v>
          </cell>
          <cell r="G5">
            <v>10.932499999999999</v>
          </cell>
          <cell r="H5">
            <v>103.75</v>
          </cell>
          <cell r="I5">
            <v>0.05</v>
          </cell>
          <cell r="J5"/>
          <cell r="K5">
            <v>10.675000000000001</v>
          </cell>
          <cell r="L5">
            <v>0</v>
          </cell>
          <cell r="M5">
            <v>0</v>
          </cell>
          <cell r="N5">
            <v>49.725000000000001</v>
          </cell>
          <cell r="O5">
            <v>54.6</v>
          </cell>
          <cell r="P5">
            <v>26.125</v>
          </cell>
          <cell r="Q5">
            <v>1.2250000000000001</v>
          </cell>
        </row>
        <row r="6">
          <cell r="A6"/>
          <cell r="B6"/>
          <cell r="C6"/>
          <cell r="D6">
            <v>1000</v>
          </cell>
          <cell r="E6">
            <v>7.21</v>
          </cell>
          <cell r="F6">
            <v>19.68</v>
          </cell>
          <cell r="G6">
            <v>43.73</v>
          </cell>
          <cell r="H6">
            <v>415</v>
          </cell>
          <cell r="I6">
            <v>0.2</v>
          </cell>
          <cell r="J6"/>
          <cell r="K6">
            <v>42.7</v>
          </cell>
          <cell r="L6">
            <v>0</v>
          </cell>
          <cell r="M6"/>
          <cell r="N6">
            <v>198.9</v>
          </cell>
          <cell r="O6">
            <v>218.4</v>
          </cell>
          <cell r="P6">
            <v>104.5</v>
          </cell>
          <cell r="Q6">
            <v>4.9000000000000004</v>
          </cell>
        </row>
        <row r="7">
          <cell r="A7" t="str">
            <v xml:space="preserve">ЩИ ИЗ СВЕЖЕЙ КАПУСТЫ С КАРТОФЕЛЕМ </v>
          </cell>
          <cell r="B7">
            <v>250</v>
          </cell>
          <cell r="C7">
            <v>1000</v>
          </cell>
          <cell r="D7">
            <v>250</v>
          </cell>
          <cell r="E7">
            <v>1.7649999999999999</v>
          </cell>
          <cell r="F7">
            <v>4.95</v>
          </cell>
          <cell r="G7">
            <v>7.9024999999999999</v>
          </cell>
          <cell r="H7">
            <v>89.75</v>
          </cell>
          <cell r="I7">
            <v>5.7500000000000002E-2</v>
          </cell>
          <cell r="J7"/>
          <cell r="K7">
            <v>15.775</v>
          </cell>
          <cell r="L7">
            <v>0</v>
          </cell>
          <cell r="M7">
            <v>0</v>
          </cell>
          <cell r="N7">
            <v>49.25</v>
          </cell>
          <cell r="O7">
            <v>49</v>
          </cell>
          <cell r="P7">
            <v>22.125</v>
          </cell>
          <cell r="Q7">
            <v>0.82499999999999996</v>
          </cell>
        </row>
        <row r="8">
          <cell r="A8" t="str">
            <v>ЩИ ИЗ СВ КАПУСТЫ С КАРТОФЕЛЕМ и СМЕТАНОЙ</v>
          </cell>
          <cell r="B8"/>
          <cell r="C8"/>
          <cell r="D8">
            <v>1000</v>
          </cell>
          <cell r="E8">
            <v>7.06</v>
          </cell>
          <cell r="F8">
            <v>19.8</v>
          </cell>
          <cell r="G8">
            <v>31.61</v>
          </cell>
          <cell r="H8">
            <v>359</v>
          </cell>
          <cell r="I8">
            <v>0.23</v>
          </cell>
          <cell r="J8"/>
          <cell r="K8">
            <v>63.1</v>
          </cell>
          <cell r="L8">
            <v>0</v>
          </cell>
          <cell r="M8"/>
          <cell r="N8">
            <v>197</v>
          </cell>
          <cell r="O8">
            <v>196</v>
          </cell>
          <cell r="P8">
            <v>88.5</v>
          </cell>
          <cell r="Q8">
            <v>3.3</v>
          </cell>
        </row>
        <row r="9">
          <cell r="A9" t="str">
            <v>РАССОЛЬНИК ДОМАШНИЙ</v>
          </cell>
          <cell r="B9">
            <v>250</v>
          </cell>
          <cell r="C9">
            <v>1000</v>
          </cell>
          <cell r="D9">
            <v>250</v>
          </cell>
          <cell r="E9">
            <v>2.0924999999999998</v>
          </cell>
          <cell r="F9">
            <v>5.0925000000000002</v>
          </cell>
          <cell r="G9">
            <v>12.69</v>
          </cell>
          <cell r="H9">
            <v>114.5</v>
          </cell>
          <cell r="I9">
            <v>0.1</v>
          </cell>
          <cell r="J9"/>
          <cell r="K9">
            <v>13.125</v>
          </cell>
          <cell r="L9">
            <v>0</v>
          </cell>
          <cell r="M9">
            <v>0</v>
          </cell>
          <cell r="N9">
            <v>39.75</v>
          </cell>
          <cell r="O9">
            <v>65.825000000000003</v>
          </cell>
          <cell r="P9">
            <v>28.074999999999999</v>
          </cell>
          <cell r="Q9">
            <v>1.075</v>
          </cell>
        </row>
        <row r="10">
          <cell r="A10"/>
          <cell r="B10"/>
          <cell r="C10"/>
          <cell r="D10">
            <v>1000</v>
          </cell>
          <cell r="E10">
            <v>8.3699999999999992</v>
          </cell>
          <cell r="F10">
            <v>20.37</v>
          </cell>
          <cell r="G10">
            <v>50.76</v>
          </cell>
          <cell r="H10">
            <v>458</v>
          </cell>
          <cell r="I10">
            <v>0.4</v>
          </cell>
          <cell r="J10"/>
          <cell r="K10">
            <v>52.5</v>
          </cell>
          <cell r="L10">
            <v>0</v>
          </cell>
          <cell r="M10"/>
          <cell r="N10">
            <v>159</v>
          </cell>
          <cell r="O10">
            <v>263.3</v>
          </cell>
          <cell r="P10">
            <v>112.3</v>
          </cell>
          <cell r="Q10">
            <v>4.3</v>
          </cell>
        </row>
        <row r="11">
          <cell r="A11" t="str">
            <v xml:space="preserve">РАССОЛЬНИК ЛЕНИНГРАДСКИЙ </v>
          </cell>
          <cell r="B11">
            <v>250</v>
          </cell>
          <cell r="C11">
            <v>1000</v>
          </cell>
          <cell r="D11">
            <v>250</v>
          </cell>
          <cell r="E11">
            <v>2.0175000000000001</v>
          </cell>
          <cell r="F11">
            <v>5.09</v>
          </cell>
          <cell r="G11">
            <v>11.98</v>
          </cell>
          <cell r="H11">
            <v>107.25</v>
          </cell>
          <cell r="I11">
            <v>9.2499999999999999E-2</v>
          </cell>
          <cell r="J11"/>
          <cell r="K11">
            <v>8.375</v>
          </cell>
          <cell r="L11">
            <v>0</v>
          </cell>
          <cell r="M11">
            <v>0</v>
          </cell>
          <cell r="N11">
            <v>29.15</v>
          </cell>
          <cell r="O11">
            <v>56.725000000000001</v>
          </cell>
          <cell r="P11">
            <v>24.175000000000001</v>
          </cell>
          <cell r="Q11">
            <v>0.92500000000000004</v>
          </cell>
        </row>
        <row r="12">
          <cell r="A12"/>
          <cell r="B12"/>
          <cell r="C12"/>
          <cell r="D12">
            <v>1000</v>
          </cell>
          <cell r="E12">
            <v>8.07</v>
          </cell>
          <cell r="F12">
            <v>20.36</v>
          </cell>
          <cell r="G12">
            <v>47.92</v>
          </cell>
          <cell r="H12">
            <v>429</v>
          </cell>
          <cell r="I12">
            <v>0.37</v>
          </cell>
          <cell r="J12"/>
          <cell r="K12">
            <v>33.5</v>
          </cell>
          <cell r="L12">
            <v>0</v>
          </cell>
          <cell r="M12"/>
          <cell r="N12">
            <v>116.6</v>
          </cell>
          <cell r="O12">
            <v>226.9</v>
          </cell>
          <cell r="P12">
            <v>96.7</v>
          </cell>
          <cell r="Q12">
            <v>3.7</v>
          </cell>
        </row>
        <row r="13">
          <cell r="A13" t="str">
            <v xml:space="preserve">СУП ИЗ ОВОЩЕЙ </v>
          </cell>
          <cell r="B13">
            <v>250</v>
          </cell>
          <cell r="C13">
            <v>1000</v>
          </cell>
          <cell r="D13">
            <v>250</v>
          </cell>
          <cell r="E13">
            <v>1.5874999999999999</v>
          </cell>
          <cell r="F13">
            <v>4.9874999999999998</v>
          </cell>
          <cell r="G13">
            <v>9.1475000000000009</v>
          </cell>
          <cell r="H13">
            <v>95.25</v>
          </cell>
          <cell r="I13">
            <v>7.2499999999999995E-2</v>
          </cell>
          <cell r="J13"/>
          <cell r="K13">
            <v>10.375</v>
          </cell>
          <cell r="L13">
            <v>0</v>
          </cell>
          <cell r="M13">
            <v>0</v>
          </cell>
          <cell r="N13">
            <v>34.85</v>
          </cell>
          <cell r="O13">
            <v>49.274999999999999</v>
          </cell>
          <cell r="P13">
            <v>20.75</v>
          </cell>
          <cell r="Q13">
            <v>0.77500000000000002</v>
          </cell>
        </row>
        <row r="14">
          <cell r="A14"/>
          <cell r="B14"/>
          <cell r="C14"/>
          <cell r="D14">
            <v>1000</v>
          </cell>
          <cell r="E14">
            <v>6.35</v>
          </cell>
          <cell r="F14">
            <v>19.95</v>
          </cell>
          <cell r="G14">
            <v>36.590000000000003</v>
          </cell>
          <cell r="H14">
            <v>381</v>
          </cell>
          <cell r="I14">
            <v>0.28999999999999998</v>
          </cell>
          <cell r="J14"/>
          <cell r="K14">
            <v>41.5</v>
          </cell>
          <cell r="L14">
            <v>0</v>
          </cell>
          <cell r="M14"/>
          <cell r="N14">
            <v>139.4</v>
          </cell>
          <cell r="O14">
            <v>197.1</v>
          </cell>
          <cell r="P14">
            <v>83</v>
          </cell>
          <cell r="Q14">
            <v>3.1</v>
          </cell>
        </row>
        <row r="15">
          <cell r="A15" t="str">
            <v>СУП КАРТОФЕЛЬНЫЙ С КРУПОЙ</v>
          </cell>
          <cell r="B15">
            <v>250</v>
          </cell>
          <cell r="C15">
            <v>1000</v>
          </cell>
          <cell r="D15">
            <v>250</v>
          </cell>
          <cell r="E15">
            <v>1.9724999999999999</v>
          </cell>
          <cell r="F15">
            <v>2.7124999999999999</v>
          </cell>
          <cell r="G15">
            <v>12.112500000000001</v>
          </cell>
          <cell r="H15">
            <v>85.75</v>
          </cell>
          <cell r="I15">
            <v>0.09</v>
          </cell>
          <cell r="J15"/>
          <cell r="K15">
            <v>8.25</v>
          </cell>
          <cell r="L15">
            <v>0</v>
          </cell>
          <cell r="M15">
            <v>0</v>
          </cell>
          <cell r="N15">
            <v>26.7</v>
          </cell>
          <cell r="O15">
            <v>55.975000000000001</v>
          </cell>
          <cell r="P15">
            <v>22.774999999999999</v>
          </cell>
          <cell r="Q15">
            <v>0.875</v>
          </cell>
        </row>
        <row r="16">
          <cell r="A16" t="str">
            <v>СУП КРЕСТЬЯНСКИЙ</v>
          </cell>
          <cell r="B16"/>
          <cell r="C16"/>
          <cell r="D16">
            <v>1000</v>
          </cell>
          <cell r="E16">
            <v>7.89</v>
          </cell>
          <cell r="F16">
            <v>10.85</v>
          </cell>
          <cell r="G16">
            <v>48.45</v>
          </cell>
          <cell r="H16">
            <v>343</v>
          </cell>
          <cell r="I16">
            <v>0.36</v>
          </cell>
          <cell r="J16"/>
          <cell r="K16">
            <v>33</v>
          </cell>
          <cell r="L16">
            <v>0</v>
          </cell>
          <cell r="M16"/>
          <cell r="N16">
            <v>106.8</v>
          </cell>
          <cell r="O16">
            <v>223.9</v>
          </cell>
          <cell r="P16">
            <v>91.1</v>
          </cell>
          <cell r="Q16">
            <v>3.5</v>
          </cell>
        </row>
        <row r="17">
          <cell r="A17" t="str">
            <v>СУП ГОРОХОВЫЙ</v>
          </cell>
          <cell r="B17">
            <v>250</v>
          </cell>
          <cell r="C17">
            <v>1000</v>
          </cell>
          <cell r="D17">
            <v>250</v>
          </cell>
          <cell r="E17">
            <v>5.49</v>
          </cell>
          <cell r="F17">
            <v>5.27</v>
          </cell>
          <cell r="G17">
            <v>16.535</v>
          </cell>
          <cell r="H17">
            <v>148.25</v>
          </cell>
          <cell r="I17">
            <v>0.22750000000000001</v>
          </cell>
          <cell r="J17"/>
          <cell r="K17">
            <v>5.8250000000000002</v>
          </cell>
          <cell r="L17">
            <v>0</v>
          </cell>
          <cell r="M17">
            <v>0</v>
          </cell>
          <cell r="N17">
            <v>42.674999999999997</v>
          </cell>
          <cell r="O17">
            <v>88.1</v>
          </cell>
          <cell r="P17">
            <v>35.575000000000003</v>
          </cell>
          <cell r="Q17">
            <v>2.0499999999999998</v>
          </cell>
        </row>
        <row r="18">
          <cell r="A18"/>
          <cell r="B18"/>
          <cell r="C18"/>
          <cell r="D18">
            <v>1000</v>
          </cell>
          <cell r="E18">
            <v>21.96</v>
          </cell>
          <cell r="F18">
            <v>21.08</v>
          </cell>
          <cell r="G18">
            <v>66.14</v>
          </cell>
          <cell r="H18">
            <v>593</v>
          </cell>
          <cell r="I18">
            <v>0.91</v>
          </cell>
          <cell r="J18"/>
          <cell r="K18">
            <v>23.3</v>
          </cell>
          <cell r="L18">
            <v>0</v>
          </cell>
          <cell r="M18"/>
          <cell r="N18">
            <v>170.7</v>
          </cell>
          <cell r="O18">
            <v>352.4</v>
          </cell>
          <cell r="P18">
            <v>142.30000000000001</v>
          </cell>
          <cell r="Q18">
            <v>8.1999999999999993</v>
          </cell>
        </row>
        <row r="19">
          <cell r="A19" t="str">
            <v>СУП КАРТОФЕЛЬНЫЙ С МАКАРОННЫМИ ИЗДЕЛИЯМИ</v>
          </cell>
          <cell r="B19">
            <v>250</v>
          </cell>
          <cell r="C19">
            <v>1000</v>
          </cell>
          <cell r="D19">
            <v>250</v>
          </cell>
          <cell r="E19">
            <v>2.6875</v>
          </cell>
          <cell r="F19">
            <v>2.8374999999999999</v>
          </cell>
          <cell r="G19">
            <v>17.454999999999998</v>
          </cell>
          <cell r="H19">
            <v>118.25</v>
          </cell>
          <cell r="I19">
            <v>0.1125</v>
          </cell>
          <cell r="J19"/>
          <cell r="K19">
            <v>8.25</v>
          </cell>
          <cell r="L19">
            <v>0</v>
          </cell>
          <cell r="M19">
            <v>0</v>
          </cell>
          <cell r="N19">
            <v>29.2</v>
          </cell>
          <cell r="O19">
            <v>67.575000000000003</v>
          </cell>
          <cell r="P19">
            <v>27.274999999999999</v>
          </cell>
          <cell r="Q19">
            <v>1.125</v>
          </cell>
        </row>
        <row r="20">
          <cell r="A20"/>
          <cell r="B20"/>
          <cell r="C20"/>
          <cell r="D20">
            <v>1000</v>
          </cell>
          <cell r="E20">
            <v>10.75</v>
          </cell>
          <cell r="F20">
            <v>11.35</v>
          </cell>
          <cell r="G20">
            <v>69.819999999999993</v>
          </cell>
          <cell r="H20">
            <v>473</v>
          </cell>
          <cell r="I20">
            <v>0.45</v>
          </cell>
          <cell r="J20"/>
          <cell r="K20">
            <v>33</v>
          </cell>
          <cell r="L20">
            <v>0</v>
          </cell>
          <cell r="M20"/>
          <cell r="N20">
            <v>116.8</v>
          </cell>
          <cell r="O20">
            <v>270.3</v>
          </cell>
          <cell r="P20">
            <v>109.1</v>
          </cell>
          <cell r="Q20">
            <v>4.5</v>
          </cell>
        </row>
        <row r="21">
          <cell r="A21" t="str">
            <v>СУП КАРТОФЕЛЬНЫЙ С КЛЕЦКАМИ</v>
          </cell>
          <cell r="B21">
            <v>250</v>
          </cell>
          <cell r="C21">
            <v>1000</v>
          </cell>
          <cell r="D21">
            <v>250</v>
          </cell>
          <cell r="E21">
            <v>3.5575000000000001</v>
          </cell>
          <cell r="F21">
            <v>4.5925000000000002</v>
          </cell>
          <cell r="G21">
            <v>18.7925</v>
          </cell>
          <cell r="H21">
            <v>144.25</v>
          </cell>
          <cell r="I21">
            <v>0.105</v>
          </cell>
          <cell r="J21"/>
          <cell r="K21">
            <v>5.75</v>
          </cell>
          <cell r="L21">
            <v>21.05</v>
          </cell>
          <cell r="M21">
            <v>0</v>
          </cell>
          <cell r="N21">
            <v>33.4</v>
          </cell>
          <cell r="O21">
            <v>72.224999999999994</v>
          </cell>
          <cell r="P21">
            <v>25.35</v>
          </cell>
          <cell r="Q21">
            <v>1.175</v>
          </cell>
        </row>
        <row r="22">
          <cell r="A22" t="str">
            <v>СУП ФАСОЛЕВЫЙ</v>
          </cell>
          <cell r="B22"/>
          <cell r="C22"/>
          <cell r="D22">
            <v>1000</v>
          </cell>
          <cell r="E22">
            <v>14.23</v>
          </cell>
          <cell r="F22">
            <v>18.37</v>
          </cell>
          <cell r="G22">
            <v>75.17</v>
          </cell>
          <cell r="H22">
            <v>577</v>
          </cell>
          <cell r="I22">
            <v>0.42</v>
          </cell>
          <cell r="J22"/>
          <cell r="K22">
            <v>23</v>
          </cell>
          <cell r="L22">
            <v>84.2</v>
          </cell>
          <cell r="M22"/>
          <cell r="N22">
            <v>133.6</v>
          </cell>
          <cell r="O22">
            <v>288.89999999999998</v>
          </cell>
          <cell r="P22">
            <v>101.4</v>
          </cell>
          <cell r="Q22">
            <v>4.7</v>
          </cell>
        </row>
        <row r="23">
          <cell r="A23" t="str">
            <v>СУП С МАКАРОННЫМИ ИЗДЕЛИЯМИ И КАРТОФЕЛЕМ</v>
          </cell>
          <cell r="B23">
            <v>250</v>
          </cell>
          <cell r="C23">
            <v>1000</v>
          </cell>
          <cell r="D23">
            <v>250</v>
          </cell>
          <cell r="E23">
            <v>2.5674999999999999</v>
          </cell>
          <cell r="F23">
            <v>2.78</v>
          </cell>
          <cell r="G23">
            <v>15.6875</v>
          </cell>
          <cell r="H23">
            <v>109</v>
          </cell>
          <cell r="I23">
            <v>9.2499999999999999E-2</v>
          </cell>
          <cell r="J23"/>
          <cell r="K23">
            <v>6.0750000000000002</v>
          </cell>
          <cell r="L23">
            <v>0</v>
          </cell>
          <cell r="M23">
            <v>0</v>
          </cell>
          <cell r="N23">
            <v>29.5</v>
          </cell>
          <cell r="O23">
            <v>57.725000000000001</v>
          </cell>
          <cell r="P23">
            <v>23.8</v>
          </cell>
          <cell r="Q23">
            <v>1</v>
          </cell>
        </row>
        <row r="24">
          <cell r="A24"/>
          <cell r="B24"/>
          <cell r="C24"/>
          <cell r="D24">
            <v>1000</v>
          </cell>
          <cell r="E24">
            <v>10.27</v>
          </cell>
          <cell r="F24">
            <v>11.12</v>
          </cell>
          <cell r="G24">
            <v>62.75</v>
          </cell>
          <cell r="H24">
            <v>436</v>
          </cell>
          <cell r="I24">
            <v>0.37</v>
          </cell>
          <cell r="J24"/>
          <cell r="K24">
            <v>24.3</v>
          </cell>
          <cell r="L24">
            <v>0</v>
          </cell>
          <cell r="M24"/>
          <cell r="N24">
            <v>118</v>
          </cell>
          <cell r="O24">
            <v>230.9</v>
          </cell>
          <cell r="P24">
            <v>95.2</v>
          </cell>
          <cell r="Q24">
            <v>4</v>
          </cell>
        </row>
        <row r="25">
          <cell r="A25" t="str">
            <v xml:space="preserve">СУП-ЛАПША ДОМАШНЯЯ </v>
          </cell>
          <cell r="B25">
            <v>250</v>
          </cell>
          <cell r="C25">
            <v>1000</v>
          </cell>
          <cell r="D25">
            <v>250</v>
          </cell>
          <cell r="E25">
            <v>2.5649999999999999</v>
          </cell>
          <cell r="F25">
            <v>5.5425000000000004</v>
          </cell>
          <cell r="G25">
            <v>11.62</v>
          </cell>
          <cell r="H25">
            <v>115.75</v>
          </cell>
          <cell r="I25">
            <v>0.05</v>
          </cell>
          <cell r="J25"/>
          <cell r="K25">
            <v>0.5</v>
          </cell>
          <cell r="L25">
            <v>12.5</v>
          </cell>
          <cell r="M25">
            <v>0</v>
          </cell>
          <cell r="N25">
            <v>28.55</v>
          </cell>
          <cell r="O25">
            <v>38.5</v>
          </cell>
          <cell r="P25">
            <v>10.675000000000001</v>
          </cell>
          <cell r="Q25">
            <v>0.65</v>
          </cell>
        </row>
        <row r="26">
          <cell r="A26"/>
          <cell r="B26"/>
          <cell r="C26"/>
          <cell r="D26">
            <v>1000</v>
          </cell>
          <cell r="E26">
            <v>10.26</v>
          </cell>
          <cell r="F26">
            <v>22.17</v>
          </cell>
          <cell r="G26">
            <v>46.48</v>
          </cell>
          <cell r="H26">
            <v>463</v>
          </cell>
          <cell r="I26">
            <v>0.2</v>
          </cell>
          <cell r="J26"/>
          <cell r="K26">
            <v>2</v>
          </cell>
          <cell r="L26">
            <v>50</v>
          </cell>
          <cell r="M26"/>
          <cell r="N26">
            <v>114.2</v>
          </cell>
          <cell r="O26">
            <v>154</v>
          </cell>
          <cell r="P26">
            <v>42.7</v>
          </cell>
          <cell r="Q26">
            <v>2.6</v>
          </cell>
        </row>
        <row r="27">
          <cell r="A27" t="str">
            <v>СУП МОЛОЧНЫЙ С МАКАРОННЫМИ ИЗДЕЛИЯМИ</v>
          </cell>
          <cell r="B27">
            <v>250</v>
          </cell>
          <cell r="C27">
            <v>1000</v>
          </cell>
          <cell r="D27">
            <v>250</v>
          </cell>
          <cell r="E27">
            <v>5.47</v>
          </cell>
          <cell r="F27">
            <v>4.7450000000000001</v>
          </cell>
          <cell r="G27">
            <v>17.954999999999998</v>
          </cell>
          <cell r="H27">
            <v>150</v>
          </cell>
          <cell r="I27">
            <v>0.09</v>
          </cell>
          <cell r="J27"/>
          <cell r="K27">
            <v>0.82499999999999996</v>
          </cell>
          <cell r="L27">
            <v>33</v>
          </cell>
          <cell r="M27">
            <v>0</v>
          </cell>
          <cell r="N27">
            <v>163</v>
          </cell>
          <cell r="O27">
            <v>136.875</v>
          </cell>
          <cell r="P27">
            <v>26.675000000000001</v>
          </cell>
          <cell r="Q27">
            <v>0.65</v>
          </cell>
        </row>
        <row r="28">
          <cell r="A28"/>
          <cell r="B28"/>
          <cell r="C28"/>
          <cell r="D28">
            <v>1000</v>
          </cell>
          <cell r="E28">
            <v>21.88</v>
          </cell>
          <cell r="F28">
            <v>18.98</v>
          </cell>
          <cell r="G28">
            <v>71.819999999999993</v>
          </cell>
          <cell r="H28">
            <v>600</v>
          </cell>
          <cell r="I28">
            <v>0.36</v>
          </cell>
          <cell r="J28"/>
          <cell r="K28">
            <v>3.3</v>
          </cell>
          <cell r="L28">
            <v>132</v>
          </cell>
          <cell r="M28"/>
          <cell r="N28">
            <v>652</v>
          </cell>
          <cell r="O28">
            <v>547.5</v>
          </cell>
          <cell r="P28">
            <v>106.7</v>
          </cell>
          <cell r="Q28">
            <v>2.6</v>
          </cell>
        </row>
      </sheetData>
      <sheetData sheetId="19"/>
      <sheetData sheetId="20">
        <row r="5">
          <cell r="A5" t="str">
            <v>КОМПОТ ИЗ СВЕЖИХ ПЛОДОВ (ЯБЛОКИ)</v>
          </cell>
          <cell r="B5">
            <v>200</v>
          </cell>
          <cell r="C5">
            <v>1000</v>
          </cell>
          <cell r="D5">
            <v>200</v>
          </cell>
          <cell r="E5">
            <v>0.16</v>
          </cell>
          <cell r="F5">
            <v>0.16</v>
          </cell>
          <cell r="G5">
            <v>27.88</v>
          </cell>
          <cell r="H5">
            <v>114.6</v>
          </cell>
          <cell r="I5">
            <v>1.2E-2</v>
          </cell>
          <cell r="J5">
            <v>0</v>
          </cell>
          <cell r="K5">
            <v>0.9</v>
          </cell>
          <cell r="L5">
            <v>0</v>
          </cell>
          <cell r="M5">
            <v>0</v>
          </cell>
          <cell r="N5">
            <v>14.180000000000001</v>
          </cell>
          <cell r="O5">
            <v>4.4000000000000004</v>
          </cell>
          <cell r="P5">
            <v>5.14</v>
          </cell>
          <cell r="Q5">
            <v>0.95199999999999996</v>
          </cell>
        </row>
        <row r="6">
          <cell r="A6" t="str">
            <v>КОМПОТ ИЗ СМОРОДИНЫ</v>
          </cell>
          <cell r="B6"/>
          <cell r="C6"/>
          <cell r="D6">
            <v>1000</v>
          </cell>
          <cell r="E6">
            <v>0.8</v>
          </cell>
          <cell r="F6">
            <v>0.8</v>
          </cell>
          <cell r="G6">
            <v>139.4</v>
          </cell>
          <cell r="H6">
            <v>573</v>
          </cell>
          <cell r="I6">
            <v>0.06</v>
          </cell>
          <cell r="J6"/>
          <cell r="K6">
            <v>4.5</v>
          </cell>
          <cell r="L6">
            <v>0</v>
          </cell>
          <cell r="M6"/>
          <cell r="N6">
            <v>70.900000000000006</v>
          </cell>
          <cell r="O6">
            <v>22</v>
          </cell>
          <cell r="P6">
            <v>25.7</v>
          </cell>
          <cell r="Q6">
            <v>4.76</v>
          </cell>
        </row>
        <row r="7">
          <cell r="A7" t="str">
            <v>КОМПОТ ИЗ ИЗЮМА</v>
          </cell>
          <cell r="B7">
            <v>200</v>
          </cell>
          <cell r="C7">
            <v>1000</v>
          </cell>
          <cell r="D7">
            <v>200</v>
          </cell>
          <cell r="E7">
            <v>0.35</v>
          </cell>
          <cell r="F7">
            <v>0.08</v>
          </cell>
          <cell r="G7">
            <v>29.85</v>
          </cell>
          <cell r="H7">
            <v>122.2</v>
          </cell>
          <cell r="I7">
            <v>0.11</v>
          </cell>
          <cell r="J7"/>
          <cell r="K7">
            <v>0</v>
          </cell>
          <cell r="L7">
            <v>0</v>
          </cell>
          <cell r="M7">
            <v>0</v>
          </cell>
          <cell r="N7">
            <v>101.6</v>
          </cell>
          <cell r="O7">
            <v>96.8</v>
          </cell>
          <cell r="P7">
            <v>40.6</v>
          </cell>
          <cell r="Q7">
            <v>2.25</v>
          </cell>
        </row>
        <row r="8">
          <cell r="A8" t="str">
            <v>КОМПОТ ИЗ ЧЕРНОСЛИВА</v>
          </cell>
          <cell r="B8"/>
          <cell r="C8"/>
          <cell r="D8">
            <v>200</v>
          </cell>
          <cell r="E8">
            <v>0.35</v>
          </cell>
          <cell r="F8">
            <v>0.08</v>
          </cell>
          <cell r="G8">
            <v>29.85</v>
          </cell>
          <cell r="H8">
            <v>122.2</v>
          </cell>
          <cell r="I8">
            <v>0.11</v>
          </cell>
          <cell r="J8"/>
          <cell r="K8">
            <v>0</v>
          </cell>
          <cell r="L8">
            <v>0</v>
          </cell>
          <cell r="M8"/>
          <cell r="N8">
            <v>101.6</v>
          </cell>
          <cell r="O8">
            <v>96.8</v>
          </cell>
          <cell r="P8">
            <v>40.6</v>
          </cell>
          <cell r="Q8">
            <v>2.25</v>
          </cell>
        </row>
        <row r="9">
          <cell r="A9" t="str">
            <v>КОМПОТ ИЗ СМЕСИ СУХОФРУКТОВ</v>
          </cell>
          <cell r="B9">
            <v>200</v>
          </cell>
          <cell r="C9">
            <v>1000</v>
          </cell>
          <cell r="D9">
            <v>200</v>
          </cell>
          <cell r="E9">
            <v>0.66200000000000003</v>
          </cell>
          <cell r="F9">
            <v>0.09</v>
          </cell>
          <cell r="G9">
            <v>32.014000000000003</v>
          </cell>
          <cell r="H9">
            <v>132.80000000000001</v>
          </cell>
          <cell r="I9">
            <v>1.6E-2</v>
          </cell>
          <cell r="J9"/>
          <cell r="K9">
            <v>0.72599999999999998</v>
          </cell>
          <cell r="L9">
            <v>0</v>
          </cell>
          <cell r="M9">
            <v>0</v>
          </cell>
          <cell r="N9">
            <v>32.479999999999997</v>
          </cell>
          <cell r="O9">
            <v>23.44</v>
          </cell>
          <cell r="P9">
            <v>17.46</v>
          </cell>
          <cell r="Q9">
            <v>0.69799999999999995</v>
          </cell>
        </row>
        <row r="10">
          <cell r="A10" t="str">
            <v>КОМПОТ ИЗ КУРАГИ</v>
          </cell>
          <cell r="B10"/>
          <cell r="C10"/>
          <cell r="D10">
            <v>1000</v>
          </cell>
          <cell r="E10">
            <v>3.31</v>
          </cell>
          <cell r="F10">
            <v>0.45</v>
          </cell>
          <cell r="G10">
            <v>160.07</v>
          </cell>
          <cell r="H10">
            <v>664</v>
          </cell>
          <cell r="I10">
            <v>0.08</v>
          </cell>
          <cell r="J10"/>
          <cell r="K10">
            <v>3.63</v>
          </cell>
          <cell r="L10">
            <v>0</v>
          </cell>
          <cell r="M10"/>
          <cell r="N10">
            <v>162.4</v>
          </cell>
          <cell r="O10">
            <v>117.2</v>
          </cell>
          <cell r="P10">
            <v>87.3</v>
          </cell>
          <cell r="Q10">
            <v>3.49</v>
          </cell>
        </row>
        <row r="11">
          <cell r="A11" t="str">
            <v>КОМПОТ ИЗ ПЛОДОВ  СУШЕНЫХ (урюк)</v>
          </cell>
          <cell r="B11">
            <v>200</v>
          </cell>
          <cell r="C11">
            <v>1000</v>
          </cell>
          <cell r="D11">
            <v>200</v>
          </cell>
          <cell r="E11">
            <v>0.75</v>
          </cell>
          <cell r="F11">
            <v>0.06</v>
          </cell>
          <cell r="G11">
            <v>27.93</v>
          </cell>
          <cell r="H11">
            <v>116.4</v>
          </cell>
          <cell r="I11">
            <v>1.6E-2</v>
          </cell>
          <cell r="J11">
            <v>0.6</v>
          </cell>
          <cell r="K11">
            <v>0.6</v>
          </cell>
          <cell r="L11">
            <v>0</v>
          </cell>
          <cell r="M11">
            <v>0</v>
          </cell>
          <cell r="N11">
            <v>33.22</v>
          </cell>
          <cell r="O11">
            <v>22.8</v>
          </cell>
          <cell r="P11">
            <v>18.16</v>
          </cell>
          <cell r="Q11">
            <v>0.48</v>
          </cell>
        </row>
        <row r="12">
          <cell r="A12" t="str">
            <v>КОМПОТ ИЗ КЛУБНИКИ</v>
          </cell>
          <cell r="B12"/>
          <cell r="C12"/>
          <cell r="D12">
            <v>1000</v>
          </cell>
          <cell r="E12">
            <v>3.75</v>
          </cell>
          <cell r="F12">
            <v>0.3</v>
          </cell>
          <cell r="G12">
            <v>139.65</v>
          </cell>
          <cell r="H12">
            <v>582</v>
          </cell>
          <cell r="I12">
            <v>0.08</v>
          </cell>
          <cell r="J12"/>
          <cell r="K12">
            <v>3</v>
          </cell>
          <cell r="L12">
            <v>0</v>
          </cell>
          <cell r="M12"/>
          <cell r="N12">
            <v>166.1</v>
          </cell>
          <cell r="O12">
            <v>114</v>
          </cell>
          <cell r="P12">
            <v>90.8</v>
          </cell>
          <cell r="Q12">
            <v>2.4</v>
          </cell>
        </row>
        <row r="13">
          <cell r="A13" t="str">
            <v>ЧАЙ С САХАРОМ</v>
          </cell>
          <cell r="B13">
            <v>200</v>
          </cell>
          <cell r="C13" t="str">
            <v>200/15</v>
          </cell>
          <cell r="D13">
            <v>200</v>
          </cell>
          <cell r="E13">
            <v>6.5116279069767455E-2</v>
          </cell>
          <cell r="F13">
            <v>1.8604651162790697E-2</v>
          </cell>
          <cell r="G13">
            <v>13.953488372093023</v>
          </cell>
          <cell r="H13">
            <v>55.813953488372093</v>
          </cell>
          <cell r="I13">
            <v>0</v>
          </cell>
          <cell r="J13">
            <v>0</v>
          </cell>
          <cell r="K13">
            <v>2.7906976744186046E-2</v>
          </cell>
          <cell r="L13">
            <v>0</v>
          </cell>
          <cell r="M13">
            <v>0</v>
          </cell>
          <cell r="N13">
            <v>10.325581395348838</v>
          </cell>
          <cell r="O13">
            <v>2.6046511627906979</v>
          </cell>
          <cell r="P13">
            <v>1.3023255813953489</v>
          </cell>
          <cell r="Q13">
            <v>0.26046511627906982</v>
          </cell>
        </row>
        <row r="14">
          <cell r="A14"/>
          <cell r="B14"/>
          <cell r="C14"/>
          <cell r="D14">
            <v>215</v>
          </cell>
          <cell r="E14">
            <v>7.0000000000000007E-2</v>
          </cell>
          <cell r="F14">
            <v>0.02</v>
          </cell>
          <cell r="G14">
            <v>15</v>
          </cell>
          <cell r="H14">
            <v>60</v>
          </cell>
          <cell r="I14">
            <v>0</v>
          </cell>
          <cell r="J14"/>
          <cell r="K14">
            <v>0.03</v>
          </cell>
          <cell r="L14">
            <v>0</v>
          </cell>
          <cell r="M14"/>
          <cell r="N14">
            <v>11.1</v>
          </cell>
          <cell r="O14">
            <v>2.8</v>
          </cell>
          <cell r="P14">
            <v>1.4</v>
          </cell>
          <cell r="Q14">
            <v>0.28000000000000003</v>
          </cell>
        </row>
        <row r="15">
          <cell r="A15" t="str">
            <v>ЧАЙ С ЛИМОНОМ</v>
          </cell>
          <cell r="B15">
            <v>200</v>
          </cell>
          <cell r="C15" t="str">
            <v>200/15</v>
          </cell>
          <cell r="D15">
            <v>200</v>
          </cell>
          <cell r="E15">
            <v>0.11659192825112108</v>
          </cell>
          <cell r="F15">
            <v>1.7937219730941704E-2</v>
          </cell>
          <cell r="G15">
            <v>13.632286995515695</v>
          </cell>
          <cell r="H15">
            <v>55.605381165919283</v>
          </cell>
          <cell r="I15">
            <v>0</v>
          </cell>
          <cell r="J15">
            <v>0</v>
          </cell>
          <cell r="K15">
            <v>2.5381165919282513</v>
          </cell>
          <cell r="L15">
            <v>0</v>
          </cell>
          <cell r="M15">
            <v>0</v>
          </cell>
          <cell r="N15">
            <v>12.735426008968609</v>
          </cell>
          <cell r="O15">
            <v>3.9461883408071752</v>
          </cell>
          <cell r="P15">
            <v>2.1524663677130045</v>
          </cell>
          <cell r="Q15">
            <v>0.32286995515695066</v>
          </cell>
        </row>
        <row r="16">
          <cell r="A16"/>
          <cell r="B16"/>
          <cell r="C16"/>
          <cell r="D16">
            <v>223</v>
          </cell>
          <cell r="E16">
            <v>0.13</v>
          </cell>
          <cell r="F16">
            <v>0.02</v>
          </cell>
          <cell r="G16">
            <v>15.2</v>
          </cell>
          <cell r="H16">
            <v>62</v>
          </cell>
          <cell r="I16">
            <v>0</v>
          </cell>
          <cell r="J16"/>
          <cell r="K16">
            <v>2.83</v>
          </cell>
          <cell r="L16">
            <v>0</v>
          </cell>
          <cell r="M16"/>
          <cell r="N16">
            <v>14.2</v>
          </cell>
          <cell r="O16">
            <v>4.4000000000000004</v>
          </cell>
          <cell r="P16">
            <v>2.4</v>
          </cell>
          <cell r="Q16">
            <v>0.36</v>
          </cell>
        </row>
        <row r="17">
          <cell r="A17" t="str">
            <v>ЧАЙ С МОЛОКОМ</v>
          </cell>
          <cell r="B17">
            <v>200</v>
          </cell>
          <cell r="C17" t="str">
            <v>150/50/15</v>
          </cell>
          <cell r="D17">
            <v>200</v>
          </cell>
          <cell r="E17">
            <v>1.413953488372093</v>
          </cell>
          <cell r="F17">
            <v>1.2558139534883721</v>
          </cell>
          <cell r="G17">
            <v>14.79</v>
          </cell>
          <cell r="H17">
            <v>75.348837209302332</v>
          </cell>
          <cell r="I17">
            <v>3.7209302325581395E-2</v>
          </cell>
          <cell r="J17">
            <v>2.2000000000000002</v>
          </cell>
          <cell r="K17">
            <v>1.2372093023255815</v>
          </cell>
          <cell r="L17">
            <v>9.3023255813953494</v>
          </cell>
          <cell r="M17">
            <v>0</v>
          </cell>
          <cell r="N17">
            <v>117.76744186046511</v>
          </cell>
          <cell r="O17">
            <v>86.325581395348834</v>
          </cell>
          <cell r="P17">
            <v>14.325581395348838</v>
          </cell>
          <cell r="Q17">
            <v>0.38139534883720932</v>
          </cell>
        </row>
        <row r="18">
          <cell r="A18"/>
          <cell r="B18"/>
          <cell r="C18"/>
          <cell r="D18">
            <v>215</v>
          </cell>
          <cell r="E18">
            <v>1.52</v>
          </cell>
          <cell r="F18">
            <v>1.35</v>
          </cell>
          <cell r="G18">
            <v>15.9</v>
          </cell>
          <cell r="H18">
            <v>81</v>
          </cell>
          <cell r="I18">
            <v>0.04</v>
          </cell>
          <cell r="J18"/>
          <cell r="K18">
            <v>1.33</v>
          </cell>
          <cell r="L18">
            <v>10</v>
          </cell>
          <cell r="M18"/>
          <cell r="N18">
            <v>126.6</v>
          </cell>
          <cell r="O18">
            <v>92.8</v>
          </cell>
          <cell r="P18">
            <v>15.4</v>
          </cell>
          <cell r="Q18">
            <v>0.41</v>
          </cell>
        </row>
        <row r="19">
          <cell r="A19" t="str">
            <v xml:space="preserve">КОФЕЙНЫЙ НАПИТОК С МОЛОКОМ </v>
          </cell>
          <cell r="B19">
            <v>200</v>
          </cell>
          <cell r="C19">
            <v>1000</v>
          </cell>
          <cell r="D19">
            <v>200</v>
          </cell>
          <cell r="E19">
            <v>3.1659999999999999</v>
          </cell>
          <cell r="F19">
            <v>2.6779999999999999</v>
          </cell>
          <cell r="G19">
            <v>15.946</v>
          </cell>
          <cell r="H19">
            <v>100.6</v>
          </cell>
          <cell r="I19">
            <v>4.3999999999999997E-2</v>
          </cell>
          <cell r="J19"/>
          <cell r="K19">
            <v>1.3</v>
          </cell>
          <cell r="L19">
            <v>20</v>
          </cell>
          <cell r="M19">
            <v>0</v>
          </cell>
          <cell r="N19">
            <v>125.78</v>
          </cell>
          <cell r="O19">
            <v>90</v>
          </cell>
          <cell r="P19">
            <v>14</v>
          </cell>
          <cell r="Q19">
            <v>0.13400000000000001</v>
          </cell>
        </row>
        <row r="20">
          <cell r="A20"/>
          <cell r="B20"/>
          <cell r="C20"/>
          <cell r="D20">
            <v>1000</v>
          </cell>
          <cell r="E20">
            <v>15.83</v>
          </cell>
          <cell r="F20">
            <v>13.39</v>
          </cell>
          <cell r="G20">
            <v>79.73</v>
          </cell>
          <cell r="H20">
            <v>503</v>
          </cell>
          <cell r="I20">
            <v>0.22</v>
          </cell>
          <cell r="J20"/>
          <cell r="K20">
            <v>6.5</v>
          </cell>
          <cell r="L20">
            <v>100</v>
          </cell>
          <cell r="M20"/>
          <cell r="N20">
            <v>628.9</v>
          </cell>
          <cell r="O20">
            <v>450</v>
          </cell>
          <cell r="P20">
            <v>70</v>
          </cell>
          <cell r="Q20">
            <v>0.67</v>
          </cell>
        </row>
        <row r="21">
          <cell r="A21" t="str">
            <v>ЧАЙ С МОЛОКОМ БЕЗ САХАРА</v>
          </cell>
          <cell r="B21">
            <v>200</v>
          </cell>
          <cell r="C21" t="str">
            <v>150/50/15</v>
          </cell>
          <cell r="D21">
            <v>200</v>
          </cell>
          <cell r="E21">
            <v>1.413953488372093</v>
          </cell>
          <cell r="F21">
            <v>1.2558139534883721</v>
          </cell>
          <cell r="G21">
            <v>17.3</v>
          </cell>
          <cell r="H21">
            <v>75.348837209302332</v>
          </cell>
          <cell r="I21">
            <v>0.10232558139534884</v>
          </cell>
          <cell r="J21">
            <v>0</v>
          </cell>
          <cell r="K21">
            <v>1.7674418604651163</v>
          </cell>
          <cell r="L21">
            <v>46.511627906976742</v>
          </cell>
          <cell r="M21">
            <v>0</v>
          </cell>
          <cell r="N21">
            <v>598.97674418604652</v>
          </cell>
          <cell r="O21">
            <v>402.60465116279067</v>
          </cell>
          <cell r="P21">
            <v>59.906976744186053</v>
          </cell>
          <cell r="Q21">
            <v>0.36279069767441863</v>
          </cell>
        </row>
        <row r="22">
          <cell r="A22"/>
          <cell r="B22"/>
          <cell r="C22"/>
          <cell r="D22">
            <v>215</v>
          </cell>
          <cell r="E22">
            <v>1.52</v>
          </cell>
          <cell r="F22">
            <v>1.35</v>
          </cell>
          <cell r="G22">
            <v>15.9</v>
          </cell>
          <cell r="H22">
            <v>81</v>
          </cell>
          <cell r="I22">
            <v>0.11</v>
          </cell>
          <cell r="J22"/>
          <cell r="K22">
            <v>1.9</v>
          </cell>
          <cell r="L22">
            <v>50</v>
          </cell>
          <cell r="M22"/>
          <cell r="N22">
            <v>643.9</v>
          </cell>
          <cell r="O22">
            <v>432.8</v>
          </cell>
          <cell r="P22">
            <v>64.400000000000006</v>
          </cell>
          <cell r="Q22">
            <v>0.39</v>
          </cell>
        </row>
        <row r="23">
          <cell r="A23" t="str">
            <v>КАКАО C МОЛОКОМ</v>
          </cell>
          <cell r="B23">
            <v>200</v>
          </cell>
          <cell r="C23">
            <v>1000</v>
          </cell>
          <cell r="D23">
            <v>200</v>
          </cell>
          <cell r="E23">
            <v>4.0780000000000003</v>
          </cell>
          <cell r="F23">
            <v>3.544</v>
          </cell>
          <cell r="G23">
            <v>17.577999999999999</v>
          </cell>
          <cell r="H23">
            <v>118.6</v>
          </cell>
          <cell r="I23">
            <v>5.6000000000000008E-2</v>
          </cell>
          <cell r="J23">
            <v>20</v>
          </cell>
          <cell r="K23">
            <v>1.5880000000000001</v>
          </cell>
          <cell r="L23">
            <v>24.4</v>
          </cell>
          <cell r="M23">
            <v>0</v>
          </cell>
          <cell r="N23">
            <v>152.22</v>
          </cell>
          <cell r="O23">
            <v>124.55999999999999</v>
          </cell>
          <cell r="P23">
            <v>21.34</v>
          </cell>
          <cell r="Q23">
            <v>0.47799999999999998</v>
          </cell>
        </row>
        <row r="24">
          <cell r="A24"/>
          <cell r="B24"/>
          <cell r="C24"/>
          <cell r="D24">
            <v>1000</v>
          </cell>
          <cell r="E24">
            <v>20.39</v>
          </cell>
          <cell r="F24">
            <v>17.72</v>
          </cell>
          <cell r="G24">
            <v>87.89</v>
          </cell>
          <cell r="H24">
            <v>593</v>
          </cell>
          <cell r="I24">
            <v>0.28000000000000003</v>
          </cell>
          <cell r="J24"/>
          <cell r="K24">
            <v>7.94</v>
          </cell>
          <cell r="L24">
            <v>122</v>
          </cell>
          <cell r="M24"/>
          <cell r="N24">
            <v>761.1</v>
          </cell>
          <cell r="O24">
            <v>622.79999999999995</v>
          </cell>
          <cell r="P24">
            <v>106.7</v>
          </cell>
          <cell r="Q24">
            <v>2.39</v>
          </cell>
        </row>
        <row r="25">
          <cell r="A25" t="str">
            <v>КИСЕЛЬ ЯГОДНЫЙ</v>
          </cell>
          <cell r="B25">
            <v>200</v>
          </cell>
          <cell r="C25">
            <v>1000</v>
          </cell>
          <cell r="D25">
            <v>200</v>
          </cell>
          <cell r="E25">
            <v>4.1879999999999997</v>
          </cell>
          <cell r="F25">
            <v>4.3339999999999996</v>
          </cell>
          <cell r="G25">
            <v>25.446000000000002</v>
          </cell>
          <cell r="H25">
            <v>102</v>
          </cell>
          <cell r="I25">
            <v>3.2000000000000001E-2</v>
          </cell>
          <cell r="J25"/>
          <cell r="K25">
            <v>0.55200000000000005</v>
          </cell>
          <cell r="L25">
            <v>1.4000000000000002E-2</v>
          </cell>
          <cell r="M25">
            <v>0</v>
          </cell>
          <cell r="N25">
            <v>119.36400000000002</v>
          </cell>
          <cell r="O25">
            <v>124.68</v>
          </cell>
          <cell r="P25">
            <v>22.096</v>
          </cell>
          <cell r="Q25">
            <v>0.62</v>
          </cell>
        </row>
        <row r="26">
          <cell r="A26"/>
          <cell r="B26"/>
          <cell r="C26"/>
          <cell r="D26">
            <v>1000</v>
          </cell>
          <cell r="E26">
            <v>20.94</v>
          </cell>
          <cell r="F26">
            <v>21.67</v>
          </cell>
          <cell r="G26">
            <v>127.23</v>
          </cell>
          <cell r="H26">
            <v>788</v>
          </cell>
          <cell r="I26">
            <v>0.16</v>
          </cell>
          <cell r="J26"/>
          <cell r="K26">
            <v>2.76</v>
          </cell>
          <cell r="L26">
            <v>7.0000000000000007E-2</v>
          </cell>
          <cell r="M26"/>
          <cell r="N26">
            <v>596.82000000000005</v>
          </cell>
          <cell r="O26">
            <v>623.4</v>
          </cell>
          <cell r="P26">
            <v>110.48</v>
          </cell>
          <cell r="Q26">
            <v>3.1</v>
          </cell>
        </row>
        <row r="27">
          <cell r="A27" t="str">
            <v>КЕФИР, АЦИДОФИЛИН, ПРОСТОКВАША, РЯЖЕНКА, АЙРАН</v>
          </cell>
          <cell r="B27">
            <v>200</v>
          </cell>
          <cell r="C27">
            <v>200</v>
          </cell>
          <cell r="D27">
            <v>200</v>
          </cell>
          <cell r="E27">
            <v>5.8</v>
          </cell>
          <cell r="F27">
            <v>5</v>
          </cell>
          <cell r="G27">
            <v>8</v>
          </cell>
          <cell r="H27">
            <v>100</v>
          </cell>
          <cell r="I27">
            <v>0.08</v>
          </cell>
          <cell r="J27">
            <v>14</v>
          </cell>
          <cell r="K27">
            <v>1.4</v>
          </cell>
          <cell r="L27">
            <v>40</v>
          </cell>
          <cell r="M27">
            <v>0.6</v>
          </cell>
          <cell r="N27">
            <v>240</v>
          </cell>
          <cell r="O27">
            <v>180</v>
          </cell>
          <cell r="P27">
            <v>28</v>
          </cell>
          <cell r="Q27">
            <v>0.2</v>
          </cell>
        </row>
        <row r="28">
          <cell r="A28"/>
          <cell r="B28"/>
          <cell r="C28"/>
          <cell r="D28">
            <v>200</v>
          </cell>
          <cell r="E28">
            <v>5.8</v>
          </cell>
          <cell r="F28">
            <v>5</v>
          </cell>
          <cell r="G28">
            <v>8</v>
          </cell>
          <cell r="H28">
            <v>100</v>
          </cell>
          <cell r="I28">
            <v>0.08</v>
          </cell>
          <cell r="J28"/>
          <cell r="K28">
            <v>1.4</v>
          </cell>
          <cell r="L28">
            <v>40</v>
          </cell>
          <cell r="M28"/>
          <cell r="N28">
            <v>240</v>
          </cell>
          <cell r="O28">
            <v>180</v>
          </cell>
          <cell r="P28">
            <v>28</v>
          </cell>
          <cell r="Q28">
            <v>0.2</v>
          </cell>
        </row>
        <row r="29">
          <cell r="A29" t="str">
            <v>НАПИТОК ИЗ ПЛОДОВ ШИПОВНИКА</v>
          </cell>
          <cell r="B29">
            <v>200</v>
          </cell>
          <cell r="C29">
            <v>1000</v>
          </cell>
          <cell r="D29">
            <v>200</v>
          </cell>
          <cell r="E29">
            <v>0.67800000000000005</v>
          </cell>
          <cell r="F29">
            <v>0.27800000000000002</v>
          </cell>
          <cell r="G29">
            <v>20.76</v>
          </cell>
          <cell r="H29">
            <v>88.2</v>
          </cell>
          <cell r="I29">
            <v>1.2E-2</v>
          </cell>
          <cell r="J29">
            <v>5.6</v>
          </cell>
          <cell r="K29">
            <v>100</v>
          </cell>
          <cell r="L29">
            <v>0</v>
          </cell>
          <cell r="M29">
            <v>0</v>
          </cell>
          <cell r="N29">
            <v>21.34</v>
          </cell>
          <cell r="O29">
            <v>3.44</v>
          </cell>
          <cell r="P29">
            <v>3.44</v>
          </cell>
          <cell r="Q29">
            <v>0.63400000000000001</v>
          </cell>
        </row>
        <row r="30">
          <cell r="A30"/>
          <cell r="B30"/>
          <cell r="C30"/>
          <cell r="D30">
            <v>1000</v>
          </cell>
          <cell r="E30">
            <v>3.39</v>
          </cell>
          <cell r="F30">
            <v>1.39</v>
          </cell>
          <cell r="G30">
            <v>103.8</v>
          </cell>
          <cell r="H30">
            <v>441</v>
          </cell>
          <cell r="I30">
            <v>0.06</v>
          </cell>
          <cell r="J30"/>
          <cell r="K30">
            <v>500</v>
          </cell>
          <cell r="L30">
            <v>0</v>
          </cell>
          <cell r="M30"/>
          <cell r="N30">
            <v>106.7</v>
          </cell>
          <cell r="O30">
            <v>17.2</v>
          </cell>
          <cell r="P30">
            <v>17.2</v>
          </cell>
          <cell r="Q30">
            <v>3.17</v>
          </cell>
        </row>
        <row r="31">
          <cell r="A31" t="str">
            <v>СОК ФРУКТОВЫЙ</v>
          </cell>
          <cell r="B31">
            <v>200</v>
          </cell>
          <cell r="C31">
            <v>200</v>
          </cell>
          <cell r="D31">
            <v>200</v>
          </cell>
          <cell r="E31">
            <v>1</v>
          </cell>
          <cell r="F31">
            <v>0.2</v>
          </cell>
          <cell r="G31">
            <v>20.2</v>
          </cell>
          <cell r="H31">
            <v>86.6</v>
          </cell>
          <cell r="I31">
            <v>0.02</v>
          </cell>
          <cell r="J31">
            <v>1.1000000000000001</v>
          </cell>
          <cell r="K31">
            <v>4</v>
          </cell>
          <cell r="L31">
            <v>0</v>
          </cell>
          <cell r="M31">
            <v>0.2</v>
          </cell>
          <cell r="N31">
            <v>14</v>
          </cell>
          <cell r="O31">
            <v>14</v>
          </cell>
          <cell r="P31">
            <v>8</v>
          </cell>
          <cell r="Q31">
            <v>2.8</v>
          </cell>
        </row>
        <row r="32">
          <cell r="A32"/>
          <cell r="B32"/>
          <cell r="C32"/>
          <cell r="D32">
            <v>200</v>
          </cell>
          <cell r="E32">
            <v>1</v>
          </cell>
          <cell r="F32">
            <v>0.2</v>
          </cell>
          <cell r="G32">
            <v>20.2</v>
          </cell>
          <cell r="H32">
            <v>86.6</v>
          </cell>
          <cell r="I32">
            <v>0.02</v>
          </cell>
          <cell r="J32"/>
          <cell r="K32">
            <v>4</v>
          </cell>
          <cell r="L32"/>
          <cell r="M32">
            <v>0.2</v>
          </cell>
          <cell r="N32">
            <v>14</v>
          </cell>
          <cell r="O32">
            <v>14</v>
          </cell>
          <cell r="P32">
            <v>8</v>
          </cell>
          <cell r="Q32">
            <v>2.8</v>
          </cell>
        </row>
        <row r="33">
          <cell r="A33" t="str">
            <v xml:space="preserve">МОЛОКО </v>
          </cell>
          <cell r="B33">
            <v>200</v>
          </cell>
          <cell r="C33">
            <v>200</v>
          </cell>
          <cell r="D33">
            <v>200</v>
          </cell>
          <cell r="E33">
            <v>5.8</v>
          </cell>
          <cell r="F33">
            <v>5</v>
          </cell>
          <cell r="G33">
            <v>9.6</v>
          </cell>
          <cell r="H33">
            <v>107</v>
          </cell>
          <cell r="I33">
            <v>0.08</v>
          </cell>
          <cell r="J33">
            <v>14</v>
          </cell>
          <cell r="K33">
            <v>2.6</v>
          </cell>
          <cell r="L33">
            <v>40</v>
          </cell>
          <cell r="M33">
            <v>0</v>
          </cell>
          <cell r="N33">
            <v>240</v>
          </cell>
          <cell r="O33">
            <v>180</v>
          </cell>
          <cell r="P33">
            <v>28</v>
          </cell>
          <cell r="Q33">
            <v>0.2</v>
          </cell>
        </row>
        <row r="34">
          <cell r="A34"/>
          <cell r="B34"/>
          <cell r="C34"/>
          <cell r="D34">
            <v>200</v>
          </cell>
          <cell r="E34">
            <v>5.8</v>
          </cell>
          <cell r="F34">
            <v>5</v>
          </cell>
          <cell r="G34">
            <v>9.6</v>
          </cell>
          <cell r="H34">
            <v>107</v>
          </cell>
          <cell r="I34">
            <v>0.08</v>
          </cell>
          <cell r="J34"/>
          <cell r="K34">
            <v>2.6</v>
          </cell>
          <cell r="L34">
            <v>40</v>
          </cell>
          <cell r="M34"/>
          <cell r="N34">
            <v>240</v>
          </cell>
          <cell r="O34">
            <v>180</v>
          </cell>
          <cell r="P34">
            <v>28</v>
          </cell>
          <cell r="Q34">
            <v>0.2</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дней с 7 до 11 лет"/>
      <sheetName val="РП с 7 до 11 лет"/>
      <sheetName val="Лист1 с 7 до 11 лет"/>
      <sheetName val="нормы"/>
      <sheetName val="расчеты"/>
      <sheetName val="салаты"/>
      <sheetName val="Лист1"/>
      <sheetName val="ТК_салаты_1-33"/>
      <sheetName val="мясо"/>
      <sheetName val="ТК_мясо_34-57"/>
      <sheetName val="каши"/>
      <sheetName val="ТК_каши_58-73"/>
      <sheetName val="супы"/>
      <sheetName val="ТК_супы_74-85"/>
      <sheetName val="выпечка"/>
      <sheetName val="ТК_выпечка_86-100"/>
      <sheetName val="напитки"/>
      <sheetName val="ТК_напитки_101-114"/>
      <sheetName val="ТК_соус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Перечень технологических карт для учащихся общеобразовательных учреждений</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row>
        <row r="2">
          <cell r="A2" t="str">
            <v>Наименование блюда</v>
          </cell>
          <cell r="B2" t="str">
            <v>ВЫХОД</v>
          </cell>
          <cell r="C2">
            <v>0</v>
          </cell>
          <cell r="D2" t="str">
            <v>Выход, г</v>
          </cell>
          <cell r="E2" t="str">
            <v>Пищевые вещества</v>
          </cell>
          <cell r="F2">
            <v>0</v>
          </cell>
          <cell r="G2">
            <v>0</v>
          </cell>
          <cell r="H2">
            <v>0</v>
          </cell>
          <cell r="I2" t="str">
            <v>Витамины, мг</v>
          </cell>
          <cell r="J2">
            <v>0</v>
          </cell>
          <cell r="K2">
            <v>0</v>
          </cell>
          <cell r="L2">
            <v>0</v>
          </cell>
          <cell r="M2" t="str">
            <v>Минер. вещества, мг</v>
          </cell>
          <cell r="N2">
            <v>0</v>
          </cell>
          <cell r="O2">
            <v>0</v>
          </cell>
          <cell r="P2">
            <v>0</v>
          </cell>
          <cell r="Q2" t="str">
            <v>СБОРНИК</v>
          </cell>
          <cell r="R2">
            <v>0</v>
          </cell>
        </row>
        <row r="3">
          <cell r="A3">
            <v>0</v>
          </cell>
          <cell r="B3" t="str">
            <v>выход меняемый</v>
          </cell>
          <cell r="C3" t="str">
            <v>выход регламент, гр</v>
          </cell>
          <cell r="D3">
            <v>0</v>
          </cell>
          <cell r="E3" t="str">
            <v>Белки, г</v>
          </cell>
          <cell r="F3" t="str">
            <v>Жиры, г</v>
          </cell>
          <cell r="G3" t="str">
            <v>Углеводы, г</v>
          </cell>
          <cell r="H3" t="str">
            <v>Энерг. ценность, ккал</v>
          </cell>
          <cell r="I3" t="str">
            <v>В1</v>
          </cell>
          <cell r="J3" t="str">
            <v>С</v>
          </cell>
          <cell r="K3" t="str">
            <v>А</v>
          </cell>
          <cell r="L3" t="str">
            <v>D</v>
          </cell>
          <cell r="M3" t="str">
            <v>Са</v>
          </cell>
          <cell r="N3" t="str">
            <v>Р</v>
          </cell>
          <cell r="O3" t="str">
            <v>Mg</v>
          </cell>
          <cell r="P3" t="str">
            <v>Fe</v>
          </cell>
          <cell r="Q3" t="str">
            <v>№ сборника</v>
          </cell>
          <cell r="R3" t="str">
            <v>год сборника</v>
          </cell>
        </row>
        <row r="4">
          <cell r="A4" t="str">
            <v>ВЫПЕЧКА</v>
          </cell>
          <cell r="B4" t="str">
            <v xml:space="preserve"> -</v>
          </cell>
          <cell r="C4" t="str">
            <v xml:space="preserve"> -</v>
          </cell>
          <cell r="D4" t="str">
            <v xml:space="preserve"> -</v>
          </cell>
          <cell r="E4" t="str">
            <v xml:space="preserve"> -</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row>
        <row r="5">
          <cell r="A5" t="str">
            <v>ПИРОЖКИ ПЕЧЕНЫЕ ИЗ ДРОЖЖЕВОГО ТЕСТА (С ЯБЛОКАМИ)</v>
          </cell>
          <cell r="B5">
            <v>75</v>
          </cell>
          <cell r="C5">
            <v>0</v>
          </cell>
          <cell r="D5">
            <v>75</v>
          </cell>
          <cell r="E5">
            <v>4.1100000000000003</v>
          </cell>
          <cell r="F5">
            <v>1.44</v>
          </cell>
          <cell r="G5">
            <v>35.53</v>
          </cell>
          <cell r="H5">
            <v>125</v>
          </cell>
          <cell r="I5">
            <v>0.08</v>
          </cell>
          <cell r="J5">
            <v>0.25</v>
          </cell>
          <cell r="K5">
            <v>0</v>
          </cell>
          <cell r="L5">
            <v>0</v>
          </cell>
          <cell r="M5">
            <v>14.29</v>
          </cell>
          <cell r="N5">
            <v>40.11</v>
          </cell>
          <cell r="O5">
            <v>17.079999999999998</v>
          </cell>
          <cell r="P5">
            <v>1.17</v>
          </cell>
          <cell r="Q5">
            <v>406</v>
          </cell>
          <cell r="R5">
            <v>2011</v>
          </cell>
        </row>
        <row r="6">
          <cell r="A6">
            <v>0</v>
          </cell>
          <cell r="B6">
            <v>0</v>
          </cell>
          <cell r="C6">
            <v>0</v>
          </cell>
          <cell r="D6">
            <v>75</v>
          </cell>
          <cell r="E6">
            <v>4.1100000000000003</v>
          </cell>
          <cell r="F6">
            <v>1.44</v>
          </cell>
          <cell r="G6">
            <v>35.53</v>
          </cell>
          <cell r="H6">
            <v>125</v>
          </cell>
          <cell r="I6">
            <v>0.08</v>
          </cell>
          <cell r="J6">
            <v>0.25</v>
          </cell>
          <cell r="K6">
            <v>0</v>
          </cell>
          <cell r="L6">
            <v>0</v>
          </cell>
          <cell r="M6">
            <v>14.29</v>
          </cell>
          <cell r="N6">
            <v>40.11</v>
          </cell>
          <cell r="O6">
            <v>17.079999999999998</v>
          </cell>
          <cell r="P6">
            <v>1.17</v>
          </cell>
          <cell r="Q6">
            <v>0</v>
          </cell>
          <cell r="R6">
            <v>0</v>
          </cell>
        </row>
        <row r="7">
          <cell r="A7" t="str">
            <v>ПИРОЖКИ ПЕЧЕНЫЕ ИЗ ДРОЖЖЕВОГО ТЕСТА (С КАПУСТОЙ)</v>
          </cell>
          <cell r="B7">
            <v>75</v>
          </cell>
          <cell r="C7">
            <v>0</v>
          </cell>
          <cell r="D7">
            <v>75</v>
          </cell>
          <cell r="E7">
            <v>4.71</v>
          </cell>
          <cell r="F7">
            <v>1.92</v>
          </cell>
          <cell r="G7">
            <v>27.53</v>
          </cell>
          <cell r="H7">
            <v>146</v>
          </cell>
          <cell r="I7">
            <v>0.08</v>
          </cell>
          <cell r="J7">
            <v>0.62</v>
          </cell>
          <cell r="K7">
            <v>6.25</v>
          </cell>
          <cell r="L7">
            <v>0</v>
          </cell>
          <cell r="M7">
            <v>18.03</v>
          </cell>
          <cell r="N7">
            <v>46.52</v>
          </cell>
          <cell r="O7">
            <v>18.28</v>
          </cell>
          <cell r="P7">
            <v>0.88</v>
          </cell>
          <cell r="Q7">
            <v>406</v>
          </cell>
          <cell r="R7">
            <v>2011</v>
          </cell>
        </row>
        <row r="8">
          <cell r="A8">
            <v>0</v>
          </cell>
          <cell r="B8">
            <v>0</v>
          </cell>
          <cell r="C8">
            <v>0</v>
          </cell>
          <cell r="D8">
            <v>75</v>
          </cell>
          <cell r="E8">
            <v>4.71</v>
          </cell>
          <cell r="F8">
            <v>1.92</v>
          </cell>
          <cell r="G8">
            <v>27.53</v>
          </cell>
          <cell r="H8">
            <v>146</v>
          </cell>
          <cell r="I8">
            <v>0.08</v>
          </cell>
          <cell r="J8">
            <v>0.62</v>
          </cell>
          <cell r="K8">
            <v>6.25</v>
          </cell>
          <cell r="L8">
            <v>0</v>
          </cell>
          <cell r="M8">
            <v>18.03</v>
          </cell>
          <cell r="N8">
            <v>46.52</v>
          </cell>
          <cell r="O8">
            <v>18.28</v>
          </cell>
          <cell r="P8">
            <v>0.88</v>
          </cell>
          <cell r="Q8">
            <v>0</v>
          </cell>
          <cell r="R8">
            <v>0</v>
          </cell>
        </row>
        <row r="9">
          <cell r="A9" t="str">
            <v>ПИРОЖКИ ПЕЧЕНЫЕ ИЗ ДРОЖЖЕВОГО ТЕСТА (С КАРТОФЕЛЕМ)</v>
          </cell>
          <cell r="B9">
            <v>75</v>
          </cell>
          <cell r="C9">
            <v>0</v>
          </cell>
          <cell r="D9">
            <v>75</v>
          </cell>
          <cell r="E9">
            <v>4.51</v>
          </cell>
          <cell r="F9">
            <v>2.2999999999999998</v>
          </cell>
          <cell r="G9">
            <v>30.41</v>
          </cell>
          <cell r="H9">
            <v>160</v>
          </cell>
          <cell r="I9">
            <v>0.09</v>
          </cell>
          <cell r="J9">
            <v>0.5</v>
          </cell>
          <cell r="K9">
            <v>0</v>
          </cell>
          <cell r="L9">
            <v>0</v>
          </cell>
          <cell r="M9">
            <v>14.94</v>
          </cell>
          <cell r="N9">
            <v>50.34</v>
          </cell>
          <cell r="O9">
            <v>20.170000000000002</v>
          </cell>
          <cell r="P9">
            <v>0.9</v>
          </cell>
          <cell r="Q9">
            <v>406</v>
          </cell>
          <cell r="R9">
            <v>2011</v>
          </cell>
        </row>
        <row r="10">
          <cell r="A10">
            <v>0</v>
          </cell>
          <cell r="B10">
            <v>0</v>
          </cell>
          <cell r="C10">
            <v>0</v>
          </cell>
          <cell r="D10">
            <v>75</v>
          </cell>
          <cell r="E10">
            <v>4.51</v>
          </cell>
          <cell r="F10">
            <v>2.2999999999999998</v>
          </cell>
          <cell r="G10">
            <v>30.41</v>
          </cell>
          <cell r="H10">
            <v>160</v>
          </cell>
          <cell r="I10">
            <v>0.09</v>
          </cell>
          <cell r="J10">
            <v>0.5</v>
          </cell>
          <cell r="K10">
            <v>0</v>
          </cell>
          <cell r="L10">
            <v>0</v>
          </cell>
          <cell r="M10">
            <v>14.94</v>
          </cell>
          <cell r="N10">
            <v>50.34</v>
          </cell>
          <cell r="O10">
            <v>20.170000000000002</v>
          </cell>
          <cell r="P10">
            <v>0.9</v>
          </cell>
          <cell r="Q10">
            <v>0</v>
          </cell>
          <cell r="R10">
            <v>0</v>
          </cell>
        </row>
        <row r="11">
          <cell r="A11" t="str">
            <v>ВАТРУШКИ (ПОВИДЛО)</v>
          </cell>
          <cell r="B11">
            <v>75</v>
          </cell>
          <cell r="C11">
            <v>0</v>
          </cell>
          <cell r="D11">
            <v>75</v>
          </cell>
          <cell r="E11">
            <v>4.46</v>
          </cell>
          <cell r="F11">
            <v>2.98</v>
          </cell>
          <cell r="G11">
            <v>44.12</v>
          </cell>
          <cell r="H11">
            <v>222</v>
          </cell>
          <cell r="I11">
            <v>0.08</v>
          </cell>
          <cell r="J11">
            <v>0.08</v>
          </cell>
          <cell r="K11">
            <v>18</v>
          </cell>
          <cell r="L11">
            <v>0</v>
          </cell>
          <cell r="M11">
            <v>15.6</v>
          </cell>
          <cell r="N11">
            <v>42.8</v>
          </cell>
          <cell r="O11">
            <v>17.399999999999999</v>
          </cell>
          <cell r="P11">
            <v>1.08</v>
          </cell>
          <cell r="Q11">
            <v>410</v>
          </cell>
          <cell r="R11">
            <v>2011</v>
          </cell>
        </row>
        <row r="12">
          <cell r="A12">
            <v>0</v>
          </cell>
          <cell r="B12">
            <v>0</v>
          </cell>
          <cell r="C12">
            <v>0</v>
          </cell>
          <cell r="D12">
            <v>75</v>
          </cell>
          <cell r="E12">
            <v>4.46</v>
          </cell>
          <cell r="F12">
            <v>2.98</v>
          </cell>
          <cell r="G12">
            <v>44.12</v>
          </cell>
          <cell r="H12">
            <v>222</v>
          </cell>
          <cell r="I12">
            <v>0.08</v>
          </cell>
          <cell r="J12">
            <v>0.08</v>
          </cell>
          <cell r="K12">
            <v>18</v>
          </cell>
          <cell r="L12">
            <v>0</v>
          </cell>
          <cell r="M12">
            <v>15.6</v>
          </cell>
          <cell r="N12">
            <v>42.8</v>
          </cell>
          <cell r="O12">
            <v>17.399999999999999</v>
          </cell>
          <cell r="P12">
            <v>1.08</v>
          </cell>
          <cell r="Q12">
            <v>0</v>
          </cell>
          <cell r="R12">
            <v>0</v>
          </cell>
        </row>
        <row r="13">
          <cell r="A13" t="str">
            <v>ВАТРУШКИ (ТВОРОГ)</v>
          </cell>
          <cell r="B13">
            <v>75</v>
          </cell>
          <cell r="C13">
            <v>0</v>
          </cell>
          <cell r="D13">
            <v>75</v>
          </cell>
          <cell r="E13">
            <v>9.6041666666666661</v>
          </cell>
          <cell r="F13">
            <v>5.7083333333333339</v>
          </cell>
          <cell r="G13">
            <v>30.395833333333332</v>
          </cell>
          <cell r="H13">
            <v>210.41666666666666</v>
          </cell>
          <cell r="I13">
            <v>8.3333333333333329E-2</v>
          </cell>
          <cell r="J13">
            <v>4.1666666666666664E-2</v>
          </cell>
          <cell r="K13">
            <v>35.416666666666664</v>
          </cell>
          <cell r="L13">
            <v>0</v>
          </cell>
          <cell r="M13">
            <v>52.916666666666664</v>
          </cell>
          <cell r="N13">
            <v>93.958333333333329</v>
          </cell>
          <cell r="O13">
            <v>22.5</v>
          </cell>
          <cell r="P13">
            <v>0.9375</v>
          </cell>
          <cell r="Q13">
            <v>410</v>
          </cell>
          <cell r="R13">
            <v>2011</v>
          </cell>
        </row>
        <row r="14">
          <cell r="A14">
            <v>0</v>
          </cell>
          <cell r="B14">
            <v>0</v>
          </cell>
          <cell r="C14">
            <v>0</v>
          </cell>
          <cell r="D14">
            <v>36</v>
          </cell>
          <cell r="E14">
            <v>4.6100000000000003</v>
          </cell>
          <cell r="F14">
            <v>2.74</v>
          </cell>
          <cell r="G14">
            <v>14.59</v>
          </cell>
          <cell r="H14">
            <v>101</v>
          </cell>
          <cell r="I14">
            <v>0.04</v>
          </cell>
          <cell r="J14">
            <v>0.02</v>
          </cell>
          <cell r="K14">
            <v>17</v>
          </cell>
          <cell r="L14">
            <v>0</v>
          </cell>
          <cell r="M14">
            <v>25.4</v>
          </cell>
          <cell r="N14">
            <v>45.1</v>
          </cell>
          <cell r="O14">
            <v>10.8</v>
          </cell>
          <cell r="P14">
            <v>0.45</v>
          </cell>
          <cell r="Q14">
            <v>0</v>
          </cell>
          <cell r="R14">
            <v>0</v>
          </cell>
        </row>
        <row r="15">
          <cell r="A15" t="str">
            <v>ПИРОГ ОТКРЫТЫЙ</v>
          </cell>
          <cell r="B15">
            <v>1000</v>
          </cell>
          <cell r="C15">
            <v>0</v>
          </cell>
          <cell r="D15">
            <v>1000</v>
          </cell>
          <cell r="E15">
            <v>61.8</v>
          </cell>
          <cell r="F15">
            <v>32.200000000000003</v>
          </cell>
          <cell r="G15">
            <v>553.20000000000005</v>
          </cell>
          <cell r="H15">
            <v>2750</v>
          </cell>
          <cell r="I15">
            <v>1.1000000000000001</v>
          </cell>
          <cell r="J15">
            <v>0.8</v>
          </cell>
          <cell r="K15">
            <v>170</v>
          </cell>
          <cell r="L15">
            <v>0</v>
          </cell>
          <cell r="M15">
            <v>195</v>
          </cell>
          <cell r="N15">
            <v>614</v>
          </cell>
          <cell r="O15">
            <v>241</v>
          </cell>
          <cell r="P15">
            <v>13.9</v>
          </cell>
          <cell r="Q15">
            <v>414</v>
          </cell>
          <cell r="R15">
            <v>2011</v>
          </cell>
        </row>
        <row r="16">
          <cell r="A16">
            <v>0</v>
          </cell>
          <cell r="B16">
            <v>0</v>
          </cell>
          <cell r="C16">
            <v>0</v>
          </cell>
          <cell r="D16">
            <v>1000</v>
          </cell>
          <cell r="E16">
            <v>61.8</v>
          </cell>
          <cell r="F16">
            <v>32.200000000000003</v>
          </cell>
          <cell r="G16">
            <v>553.20000000000005</v>
          </cell>
          <cell r="H16">
            <v>2750</v>
          </cell>
          <cell r="I16">
            <v>1.1000000000000001</v>
          </cell>
          <cell r="J16">
            <v>0.8</v>
          </cell>
          <cell r="K16">
            <v>170</v>
          </cell>
          <cell r="L16">
            <v>0</v>
          </cell>
          <cell r="M16">
            <v>195</v>
          </cell>
          <cell r="N16">
            <v>614</v>
          </cell>
          <cell r="O16">
            <v>241</v>
          </cell>
          <cell r="P16">
            <v>13.9</v>
          </cell>
          <cell r="Q16">
            <v>0</v>
          </cell>
          <cell r="R16">
            <v>0</v>
          </cell>
        </row>
        <row r="17">
          <cell r="A17" t="str">
            <v>СЛОЙКА С ПОВИДЛОМ</v>
          </cell>
          <cell r="B17">
            <v>75</v>
          </cell>
          <cell r="C17">
            <v>0</v>
          </cell>
          <cell r="D17">
            <v>75</v>
          </cell>
          <cell r="E17">
            <v>4.78</v>
          </cell>
          <cell r="F17">
            <v>8.84</v>
          </cell>
          <cell r="G17">
            <v>38.04</v>
          </cell>
          <cell r="H17">
            <v>250</v>
          </cell>
          <cell r="I17">
            <v>0.08</v>
          </cell>
          <cell r="J17">
            <v>0</v>
          </cell>
          <cell r="K17">
            <v>12</v>
          </cell>
          <cell r="L17">
            <v>0</v>
          </cell>
          <cell r="M17">
            <v>15</v>
          </cell>
          <cell r="N17">
            <v>48</v>
          </cell>
          <cell r="O17">
            <v>17.2</v>
          </cell>
          <cell r="P17">
            <v>0.94</v>
          </cell>
          <cell r="Q17">
            <v>418</v>
          </cell>
          <cell r="R17">
            <v>2011</v>
          </cell>
        </row>
        <row r="18">
          <cell r="A18">
            <v>0</v>
          </cell>
          <cell r="B18">
            <v>0</v>
          </cell>
          <cell r="C18">
            <v>0</v>
          </cell>
          <cell r="D18">
            <v>75</v>
          </cell>
          <cell r="E18">
            <v>4.78</v>
          </cell>
          <cell r="F18">
            <v>8.84</v>
          </cell>
          <cell r="G18">
            <v>38.04</v>
          </cell>
          <cell r="H18">
            <v>250</v>
          </cell>
          <cell r="I18">
            <v>0.08</v>
          </cell>
          <cell r="J18">
            <v>0</v>
          </cell>
          <cell r="K18">
            <v>12</v>
          </cell>
          <cell r="L18">
            <v>0</v>
          </cell>
          <cell r="M18">
            <v>15</v>
          </cell>
          <cell r="N18">
            <v>48</v>
          </cell>
          <cell r="O18">
            <v>17.2</v>
          </cell>
          <cell r="P18">
            <v>0.94</v>
          </cell>
          <cell r="Q18">
            <v>0</v>
          </cell>
          <cell r="R18">
            <v>0</v>
          </cell>
        </row>
        <row r="19">
          <cell r="A19" t="str">
            <v>ПИРОЖКИ ПЕСОЧНЫЕ С ЯБЛОКОМ</v>
          </cell>
          <cell r="B19">
            <v>75</v>
          </cell>
          <cell r="C19">
            <v>0</v>
          </cell>
          <cell r="D19">
            <v>75</v>
          </cell>
          <cell r="E19">
            <v>4.96</v>
          </cell>
          <cell r="F19">
            <v>8.14</v>
          </cell>
          <cell r="G19">
            <v>36.24</v>
          </cell>
          <cell r="H19">
            <v>238</v>
          </cell>
          <cell r="I19">
            <v>0.06</v>
          </cell>
          <cell r="J19">
            <v>0.26</v>
          </cell>
          <cell r="K19">
            <v>18</v>
          </cell>
          <cell r="L19">
            <v>0</v>
          </cell>
          <cell r="M19">
            <v>24</v>
          </cell>
          <cell r="N19">
            <v>49.8</v>
          </cell>
          <cell r="O19">
            <v>15.2</v>
          </cell>
          <cell r="P19">
            <v>1.1399999999999999</v>
          </cell>
          <cell r="Q19">
            <v>419</v>
          </cell>
          <cell r="R19">
            <v>2011</v>
          </cell>
        </row>
        <row r="20">
          <cell r="A20">
            <v>0</v>
          </cell>
          <cell r="B20">
            <v>0</v>
          </cell>
          <cell r="C20">
            <v>0</v>
          </cell>
          <cell r="D20">
            <v>75</v>
          </cell>
          <cell r="E20">
            <v>4.96</v>
          </cell>
          <cell r="F20">
            <v>8.14</v>
          </cell>
          <cell r="G20">
            <v>36.24</v>
          </cell>
          <cell r="H20">
            <v>238</v>
          </cell>
          <cell r="I20">
            <v>0.06</v>
          </cell>
          <cell r="J20">
            <v>0.26</v>
          </cell>
          <cell r="K20">
            <v>18</v>
          </cell>
          <cell r="L20">
            <v>0</v>
          </cell>
          <cell r="M20">
            <v>24</v>
          </cell>
          <cell r="N20">
            <v>49.8</v>
          </cell>
          <cell r="O20">
            <v>15.2</v>
          </cell>
          <cell r="P20">
            <v>1.1399999999999999</v>
          </cell>
          <cell r="Q20">
            <v>0</v>
          </cell>
          <cell r="R20">
            <v>0</v>
          </cell>
        </row>
        <row r="21">
          <cell r="A21" t="str">
            <v>БУЛОЧКА ДОМАШНЯЯ</v>
          </cell>
          <cell r="B21">
            <v>75</v>
          </cell>
          <cell r="C21">
            <v>0</v>
          </cell>
          <cell r="D21">
            <v>75</v>
          </cell>
          <cell r="E21">
            <v>5.46</v>
          </cell>
          <cell r="F21">
            <v>9.39</v>
          </cell>
          <cell r="G21">
            <v>32.94</v>
          </cell>
          <cell r="H21">
            <v>238.5</v>
          </cell>
          <cell r="I21">
            <v>0.09</v>
          </cell>
          <cell r="J21">
            <v>0</v>
          </cell>
          <cell r="K21">
            <v>3</v>
          </cell>
          <cell r="L21">
            <v>0</v>
          </cell>
          <cell r="M21">
            <v>14.85</v>
          </cell>
          <cell r="N21">
            <v>52.5</v>
          </cell>
          <cell r="O21">
            <v>20.55</v>
          </cell>
          <cell r="P21">
            <v>0.97499999999999998</v>
          </cell>
          <cell r="Q21">
            <v>424</v>
          </cell>
          <cell r="R21">
            <v>2011</v>
          </cell>
        </row>
        <row r="22">
          <cell r="A22">
            <v>0</v>
          </cell>
          <cell r="B22">
            <v>0</v>
          </cell>
          <cell r="C22">
            <v>0</v>
          </cell>
          <cell r="D22">
            <v>100</v>
          </cell>
          <cell r="E22">
            <v>7.28</v>
          </cell>
          <cell r="F22">
            <v>12.52</v>
          </cell>
          <cell r="G22">
            <v>43.92</v>
          </cell>
          <cell r="H22">
            <v>318</v>
          </cell>
          <cell r="I22">
            <v>0.12</v>
          </cell>
          <cell r="J22">
            <v>0</v>
          </cell>
          <cell r="K22">
            <v>4</v>
          </cell>
          <cell r="L22">
            <v>0</v>
          </cell>
          <cell r="M22">
            <v>19.8</v>
          </cell>
          <cell r="N22">
            <v>70</v>
          </cell>
          <cell r="O22">
            <v>27.4</v>
          </cell>
          <cell r="P22">
            <v>1.3</v>
          </cell>
          <cell r="Q22">
            <v>0</v>
          </cell>
          <cell r="R22">
            <v>0</v>
          </cell>
        </row>
        <row r="23">
          <cell r="A23" t="str">
            <v>БУЛОЧКА ДОРОЖНАЯ</v>
          </cell>
          <cell r="B23">
            <v>75</v>
          </cell>
          <cell r="C23">
            <v>0</v>
          </cell>
          <cell r="D23">
            <v>75</v>
          </cell>
          <cell r="E23">
            <v>5.085</v>
          </cell>
          <cell r="F23">
            <v>10.47</v>
          </cell>
          <cell r="G23">
            <v>31.605</v>
          </cell>
          <cell r="H23">
            <v>240.75</v>
          </cell>
          <cell r="I23">
            <v>0.09</v>
          </cell>
          <cell r="J23">
            <v>0</v>
          </cell>
          <cell r="K23">
            <v>3</v>
          </cell>
          <cell r="L23">
            <v>0</v>
          </cell>
          <cell r="M23">
            <v>13.95</v>
          </cell>
          <cell r="N23">
            <v>48.15</v>
          </cell>
          <cell r="O23">
            <v>19.649999999999999</v>
          </cell>
          <cell r="P23">
            <v>0.9</v>
          </cell>
          <cell r="Q23">
            <v>425</v>
          </cell>
          <cell r="R23">
            <v>2011</v>
          </cell>
        </row>
        <row r="24">
          <cell r="A24">
            <v>0</v>
          </cell>
          <cell r="B24">
            <v>0</v>
          </cell>
          <cell r="C24">
            <v>0</v>
          </cell>
          <cell r="D24">
            <v>100</v>
          </cell>
          <cell r="E24">
            <v>6.78</v>
          </cell>
          <cell r="F24">
            <v>13.96</v>
          </cell>
          <cell r="G24">
            <v>42.14</v>
          </cell>
          <cell r="H24">
            <v>321</v>
          </cell>
          <cell r="I24">
            <v>0.12</v>
          </cell>
          <cell r="J24">
            <v>0</v>
          </cell>
          <cell r="K24">
            <v>4</v>
          </cell>
          <cell r="L24">
            <v>0</v>
          </cell>
          <cell r="M24">
            <v>18.600000000000001</v>
          </cell>
          <cell r="N24">
            <v>64.2</v>
          </cell>
          <cell r="O24">
            <v>26.2</v>
          </cell>
          <cell r="P24">
            <v>1.2</v>
          </cell>
          <cell r="Q24">
            <v>0</v>
          </cell>
          <cell r="R24">
            <v>0</v>
          </cell>
        </row>
        <row r="25">
          <cell r="A25" t="str">
            <v>БУЛОЧКА С ПОВИДЛОМ ОБСЫПНАЯ</v>
          </cell>
          <cell r="B25">
            <v>75</v>
          </cell>
          <cell r="C25">
            <v>0</v>
          </cell>
          <cell r="D25">
            <v>75</v>
          </cell>
          <cell r="E25">
            <v>4.95</v>
          </cell>
          <cell r="F25">
            <v>10.77</v>
          </cell>
          <cell r="G25">
            <v>30.8475</v>
          </cell>
          <cell r="H25">
            <v>240</v>
          </cell>
          <cell r="I25">
            <v>0.12</v>
          </cell>
          <cell r="J25">
            <v>0.03</v>
          </cell>
          <cell r="K25">
            <v>0</v>
          </cell>
          <cell r="L25">
            <v>0</v>
          </cell>
          <cell r="M25">
            <v>15.975</v>
          </cell>
          <cell r="N25">
            <v>57.6</v>
          </cell>
          <cell r="O25">
            <v>21.15</v>
          </cell>
          <cell r="P25">
            <v>1.0424999999999998</v>
          </cell>
          <cell r="Q25">
            <v>426</v>
          </cell>
          <cell r="R25">
            <v>2011</v>
          </cell>
        </row>
        <row r="26">
          <cell r="A26">
            <v>0</v>
          </cell>
          <cell r="B26">
            <v>0</v>
          </cell>
          <cell r="C26">
            <v>0</v>
          </cell>
          <cell r="D26">
            <v>100</v>
          </cell>
          <cell r="E26">
            <v>6.6</v>
          </cell>
          <cell r="F26">
            <v>14.36</v>
          </cell>
          <cell r="G26">
            <v>41.13</v>
          </cell>
          <cell r="H26">
            <v>320</v>
          </cell>
          <cell r="I26">
            <v>0.16</v>
          </cell>
          <cell r="J26">
            <v>0.04</v>
          </cell>
          <cell r="K26">
            <v>0</v>
          </cell>
          <cell r="L26">
            <v>0</v>
          </cell>
          <cell r="M26">
            <v>21.3</v>
          </cell>
          <cell r="N26">
            <v>76.8</v>
          </cell>
          <cell r="O26">
            <v>28.2</v>
          </cell>
          <cell r="P26">
            <v>1.39</v>
          </cell>
          <cell r="Q26">
            <v>0</v>
          </cell>
          <cell r="R26">
            <v>0</v>
          </cell>
        </row>
        <row r="27">
          <cell r="A27" t="str">
            <v>БУЛОЧКА "ВЕСНУШКА"</v>
          </cell>
          <cell r="B27">
            <v>50</v>
          </cell>
          <cell r="C27">
            <v>0</v>
          </cell>
          <cell r="D27">
            <v>50</v>
          </cell>
          <cell r="E27">
            <v>3.9</v>
          </cell>
          <cell r="F27">
            <v>3.06</v>
          </cell>
          <cell r="G27">
            <v>23.9</v>
          </cell>
          <cell r="H27">
            <v>139</v>
          </cell>
          <cell r="I27">
            <v>7.0000000000000007E-2</v>
          </cell>
          <cell r="J27">
            <v>0</v>
          </cell>
          <cell r="K27">
            <v>3</v>
          </cell>
          <cell r="L27">
            <v>0</v>
          </cell>
          <cell r="M27">
            <v>11.3</v>
          </cell>
          <cell r="N27">
            <v>39.200000000000003</v>
          </cell>
          <cell r="O27">
            <v>15.2</v>
          </cell>
          <cell r="P27">
            <v>0.73</v>
          </cell>
          <cell r="Q27">
            <v>429</v>
          </cell>
          <cell r="R27">
            <v>2011</v>
          </cell>
        </row>
        <row r="28">
          <cell r="A28">
            <v>0</v>
          </cell>
          <cell r="B28">
            <v>0</v>
          </cell>
          <cell r="C28">
            <v>0</v>
          </cell>
          <cell r="D28">
            <v>50</v>
          </cell>
          <cell r="E28">
            <v>3.9</v>
          </cell>
          <cell r="F28">
            <v>3.06</v>
          </cell>
          <cell r="G28">
            <v>23.9</v>
          </cell>
          <cell r="H28">
            <v>139</v>
          </cell>
          <cell r="I28">
            <v>7.0000000000000007E-2</v>
          </cell>
          <cell r="J28">
            <v>0</v>
          </cell>
          <cell r="K28">
            <v>3</v>
          </cell>
          <cell r="L28">
            <v>0</v>
          </cell>
          <cell r="M28">
            <v>11.3</v>
          </cell>
          <cell r="N28">
            <v>39.200000000000003</v>
          </cell>
          <cell r="O28">
            <v>15.2</v>
          </cell>
          <cell r="P28">
            <v>0.73</v>
          </cell>
          <cell r="Q28">
            <v>0</v>
          </cell>
          <cell r="R28">
            <v>0</v>
          </cell>
        </row>
        <row r="29">
          <cell r="A29" t="str">
            <v>БУЛОЧКА "РОЗОВАЯ"</v>
          </cell>
          <cell r="B29">
            <v>60</v>
          </cell>
          <cell r="C29">
            <v>0</v>
          </cell>
          <cell r="D29">
            <v>60</v>
          </cell>
          <cell r="E29">
            <v>4.8</v>
          </cell>
          <cell r="F29">
            <v>1.68</v>
          </cell>
          <cell r="G29">
            <v>28.16</v>
          </cell>
          <cell r="H29">
            <v>147</v>
          </cell>
          <cell r="I29">
            <v>0.08</v>
          </cell>
          <cell r="J29">
            <v>0.17</v>
          </cell>
          <cell r="K29">
            <v>2</v>
          </cell>
          <cell r="L29">
            <v>0</v>
          </cell>
          <cell r="M29">
            <v>13.9</v>
          </cell>
          <cell r="N29">
            <v>47</v>
          </cell>
          <cell r="O29">
            <v>18.7</v>
          </cell>
          <cell r="P29">
            <v>0.88</v>
          </cell>
          <cell r="Q29">
            <v>431</v>
          </cell>
          <cell r="R29">
            <v>2011</v>
          </cell>
        </row>
        <row r="30">
          <cell r="A30">
            <v>0</v>
          </cell>
          <cell r="B30">
            <v>0</v>
          </cell>
          <cell r="C30">
            <v>0</v>
          </cell>
          <cell r="D30">
            <v>60</v>
          </cell>
          <cell r="E30">
            <v>4.8</v>
          </cell>
          <cell r="F30">
            <v>1.68</v>
          </cell>
          <cell r="G30">
            <v>28.16</v>
          </cell>
          <cell r="H30">
            <v>147</v>
          </cell>
          <cell r="I30">
            <v>0.08</v>
          </cell>
          <cell r="J30">
            <v>0.17</v>
          </cell>
          <cell r="K30">
            <v>2</v>
          </cell>
          <cell r="L30">
            <v>0</v>
          </cell>
          <cell r="M30">
            <v>13.9</v>
          </cell>
          <cell r="N30">
            <v>47</v>
          </cell>
          <cell r="O30">
            <v>18.7</v>
          </cell>
          <cell r="P30">
            <v>0.88</v>
          </cell>
          <cell r="Q30">
            <v>0</v>
          </cell>
          <cell r="R30">
            <v>0</v>
          </cell>
        </row>
        <row r="31">
          <cell r="A31" t="str">
            <v>БУЛОЧКА "МОЛОЧНАЯ"</v>
          </cell>
          <cell r="B31">
            <v>100</v>
          </cell>
          <cell r="C31">
            <v>0</v>
          </cell>
          <cell r="D31">
            <v>100</v>
          </cell>
          <cell r="E31">
            <v>9.2799999999999994</v>
          </cell>
          <cell r="F31">
            <v>1.98</v>
          </cell>
          <cell r="G31">
            <v>46.9</v>
          </cell>
          <cell r="H31">
            <v>242</v>
          </cell>
          <cell r="I31">
            <v>0.16</v>
          </cell>
          <cell r="J31">
            <v>0.26</v>
          </cell>
          <cell r="K31">
            <v>6</v>
          </cell>
          <cell r="L31">
            <v>0</v>
          </cell>
          <cell r="M31">
            <v>60.4</v>
          </cell>
          <cell r="N31">
            <v>103.4</v>
          </cell>
          <cell r="O31">
            <v>36.6</v>
          </cell>
          <cell r="P31">
            <v>1.46</v>
          </cell>
          <cell r="Q31">
            <v>434</v>
          </cell>
          <cell r="R31">
            <v>2011</v>
          </cell>
        </row>
        <row r="32">
          <cell r="A32">
            <v>0</v>
          </cell>
          <cell r="B32">
            <v>0</v>
          </cell>
          <cell r="C32">
            <v>0</v>
          </cell>
          <cell r="D32">
            <v>50</v>
          </cell>
          <cell r="E32">
            <v>4.6399999999999997</v>
          </cell>
          <cell r="F32">
            <v>0.99</v>
          </cell>
          <cell r="G32">
            <v>23.45</v>
          </cell>
          <cell r="H32">
            <v>121</v>
          </cell>
          <cell r="I32">
            <v>0.08</v>
          </cell>
          <cell r="J32">
            <v>0.13</v>
          </cell>
          <cell r="K32">
            <v>3</v>
          </cell>
          <cell r="L32">
            <v>0</v>
          </cell>
          <cell r="M32">
            <v>30.2</v>
          </cell>
          <cell r="N32">
            <v>51.7</v>
          </cell>
          <cell r="O32">
            <v>18.3</v>
          </cell>
          <cell r="P32">
            <v>0.73</v>
          </cell>
          <cell r="Q32">
            <v>0</v>
          </cell>
          <cell r="R32">
            <v>0</v>
          </cell>
        </row>
        <row r="33">
          <cell r="A33" t="str">
            <v>КЕКС "СТОЛИЧНЫЙ"</v>
          </cell>
          <cell r="B33">
            <v>75</v>
          </cell>
          <cell r="C33">
            <v>0</v>
          </cell>
          <cell r="D33">
            <v>75</v>
          </cell>
          <cell r="E33">
            <v>4.57</v>
          </cell>
          <cell r="F33">
            <v>13.84</v>
          </cell>
          <cell r="G33">
            <v>43.06</v>
          </cell>
          <cell r="H33">
            <v>315</v>
          </cell>
          <cell r="I33">
            <v>7.0000000000000007E-2</v>
          </cell>
          <cell r="J33">
            <v>0</v>
          </cell>
          <cell r="K33">
            <v>89</v>
          </cell>
          <cell r="L33">
            <v>0</v>
          </cell>
          <cell r="M33">
            <v>27.5</v>
          </cell>
          <cell r="N33">
            <v>63.8</v>
          </cell>
          <cell r="O33">
            <v>17</v>
          </cell>
          <cell r="P33">
            <v>1.2</v>
          </cell>
          <cell r="Q33">
            <v>446</v>
          </cell>
          <cell r="R33">
            <v>2011</v>
          </cell>
        </row>
        <row r="34">
          <cell r="A34">
            <v>0</v>
          </cell>
          <cell r="B34">
            <v>0</v>
          </cell>
          <cell r="C34">
            <v>0</v>
          </cell>
          <cell r="D34">
            <v>75</v>
          </cell>
          <cell r="E34">
            <v>4.57</v>
          </cell>
          <cell r="F34">
            <v>13.84</v>
          </cell>
          <cell r="G34">
            <v>43.06</v>
          </cell>
          <cell r="H34">
            <v>315</v>
          </cell>
          <cell r="I34">
            <v>7.0000000000000007E-2</v>
          </cell>
          <cell r="J34">
            <v>0</v>
          </cell>
          <cell r="K34">
            <v>89</v>
          </cell>
          <cell r="L34">
            <v>0</v>
          </cell>
          <cell r="M34">
            <v>27.5</v>
          </cell>
          <cell r="N34">
            <v>63.8</v>
          </cell>
          <cell r="O34">
            <v>17</v>
          </cell>
          <cell r="P34">
            <v>1.2</v>
          </cell>
          <cell r="Q34">
            <v>0</v>
          </cell>
          <cell r="R34">
            <v>0</v>
          </cell>
        </row>
        <row r="35">
          <cell r="A35" t="str">
            <v>КЕКС "ТВОРОЖНЫЙ"</v>
          </cell>
          <cell r="B35">
            <v>50</v>
          </cell>
          <cell r="C35">
            <v>0</v>
          </cell>
          <cell r="D35">
            <v>50</v>
          </cell>
          <cell r="E35">
            <v>4.71</v>
          </cell>
          <cell r="F35">
            <v>7.42</v>
          </cell>
          <cell r="G35">
            <v>25.58</v>
          </cell>
          <cell r="H35">
            <v>188</v>
          </cell>
          <cell r="I35">
            <v>0.03</v>
          </cell>
          <cell r="J35">
            <v>0.03</v>
          </cell>
          <cell r="K35">
            <v>49</v>
          </cell>
          <cell r="L35">
            <v>0</v>
          </cell>
          <cell r="M35">
            <v>26.7</v>
          </cell>
          <cell r="N35">
            <v>49.2</v>
          </cell>
          <cell r="O35">
            <v>9.1</v>
          </cell>
          <cell r="P35">
            <v>0.51</v>
          </cell>
          <cell r="Q35">
            <v>447</v>
          </cell>
          <cell r="R35">
            <v>2011</v>
          </cell>
        </row>
        <row r="36">
          <cell r="A36">
            <v>0</v>
          </cell>
          <cell r="B36">
            <v>0</v>
          </cell>
          <cell r="C36">
            <v>0</v>
          </cell>
          <cell r="D36">
            <v>50</v>
          </cell>
          <cell r="E36">
            <v>4.71</v>
          </cell>
          <cell r="F36">
            <v>7.42</v>
          </cell>
          <cell r="G36">
            <v>25.58</v>
          </cell>
          <cell r="H36">
            <v>188</v>
          </cell>
          <cell r="I36">
            <v>0.03</v>
          </cell>
          <cell r="J36">
            <v>0.03</v>
          </cell>
          <cell r="K36">
            <v>49</v>
          </cell>
          <cell r="L36">
            <v>0</v>
          </cell>
          <cell r="M36">
            <v>26.7</v>
          </cell>
          <cell r="N36">
            <v>49.2</v>
          </cell>
          <cell r="O36">
            <v>9.1</v>
          </cell>
          <cell r="P36">
            <v>0.51</v>
          </cell>
          <cell r="Q36">
            <v>0</v>
          </cell>
          <cell r="R36">
            <v>0</v>
          </cell>
        </row>
        <row r="37">
          <cell r="A37" t="str">
            <v>СОСИСКА В ТЕСТЕ</v>
          </cell>
          <cell r="B37">
            <v>50</v>
          </cell>
          <cell r="C37">
            <v>0</v>
          </cell>
          <cell r="D37">
            <v>50</v>
          </cell>
          <cell r="E37">
            <v>4.24</v>
          </cell>
          <cell r="F37">
            <v>8.7100000000000009</v>
          </cell>
          <cell r="G37">
            <v>29.39</v>
          </cell>
          <cell r="H37">
            <v>213</v>
          </cell>
          <cell r="I37">
            <v>7.0000000000000007E-2</v>
          </cell>
          <cell r="J37">
            <v>7.0000000000000007E-2</v>
          </cell>
          <cell r="K37">
            <v>18</v>
          </cell>
          <cell r="L37">
            <v>0</v>
          </cell>
          <cell r="M37">
            <v>18.600000000000001</v>
          </cell>
          <cell r="N37">
            <v>52.1</v>
          </cell>
          <cell r="O37">
            <v>17.100000000000001</v>
          </cell>
          <cell r="P37">
            <v>0.91</v>
          </cell>
          <cell r="Q37">
            <v>450</v>
          </cell>
          <cell r="R37">
            <v>2011</v>
          </cell>
        </row>
        <row r="38">
          <cell r="A38">
            <v>0</v>
          </cell>
          <cell r="B38">
            <v>0</v>
          </cell>
          <cell r="C38">
            <v>0</v>
          </cell>
          <cell r="D38">
            <v>50</v>
          </cell>
          <cell r="E38">
            <v>4.24</v>
          </cell>
          <cell r="F38">
            <v>8.7100000000000009</v>
          </cell>
          <cell r="G38">
            <v>29.39</v>
          </cell>
          <cell r="H38">
            <v>213</v>
          </cell>
          <cell r="I38">
            <v>7.0000000000000007E-2</v>
          </cell>
          <cell r="J38">
            <v>7.0000000000000007E-2</v>
          </cell>
          <cell r="K38">
            <v>18</v>
          </cell>
          <cell r="L38">
            <v>0</v>
          </cell>
          <cell r="M38">
            <v>18.600000000000001</v>
          </cell>
          <cell r="N38">
            <v>52.1</v>
          </cell>
          <cell r="O38">
            <v>17.100000000000001</v>
          </cell>
          <cell r="P38">
            <v>0.91</v>
          </cell>
          <cell r="Q38">
            <v>0</v>
          </cell>
          <cell r="R38">
            <v>0</v>
          </cell>
        </row>
        <row r="39">
          <cell r="A39" t="str">
            <v>КОРЖИКИ МОЛОЧНЫЕ</v>
          </cell>
          <cell r="B39">
            <v>75</v>
          </cell>
          <cell r="C39">
            <v>0</v>
          </cell>
          <cell r="D39">
            <v>75</v>
          </cell>
          <cell r="E39">
            <v>4.8899999999999997</v>
          </cell>
          <cell r="F39">
            <v>8.43</v>
          </cell>
          <cell r="G39">
            <v>47.68</v>
          </cell>
          <cell r="H39">
            <v>286</v>
          </cell>
          <cell r="I39">
            <v>0.08</v>
          </cell>
          <cell r="J39">
            <v>0.05</v>
          </cell>
          <cell r="K39">
            <v>8</v>
          </cell>
          <cell r="L39">
            <v>0</v>
          </cell>
          <cell r="M39">
            <v>19.2</v>
          </cell>
          <cell r="N39">
            <v>48.5</v>
          </cell>
          <cell r="O39">
            <v>17.8</v>
          </cell>
          <cell r="P39">
            <v>0.85</v>
          </cell>
          <cell r="Q39">
            <v>456</v>
          </cell>
          <cell r="R39">
            <v>2011</v>
          </cell>
        </row>
        <row r="40">
          <cell r="A40">
            <v>0</v>
          </cell>
          <cell r="B40">
            <v>0</v>
          </cell>
          <cell r="C40">
            <v>0</v>
          </cell>
          <cell r="D40">
            <v>75</v>
          </cell>
          <cell r="E40">
            <v>4.8899999999999997</v>
          </cell>
          <cell r="F40">
            <v>8.43</v>
          </cell>
          <cell r="G40">
            <v>47.68</v>
          </cell>
          <cell r="H40">
            <v>286</v>
          </cell>
          <cell r="I40">
            <v>0.08</v>
          </cell>
          <cell r="J40">
            <v>0.05</v>
          </cell>
          <cell r="K40">
            <v>8</v>
          </cell>
          <cell r="L40">
            <v>0</v>
          </cell>
          <cell r="M40">
            <v>19.2</v>
          </cell>
          <cell r="N40">
            <v>48.5</v>
          </cell>
          <cell r="O40">
            <v>17.8</v>
          </cell>
          <cell r="P40">
            <v>0.85</v>
          </cell>
          <cell r="Q40">
            <v>0</v>
          </cell>
          <cell r="R40">
            <v>0</v>
          </cell>
        </row>
        <row r="41">
          <cell r="A41" t="str">
            <v>ХЛЕБ ПШЕНИЧНЫЙ</v>
          </cell>
          <cell r="B41">
            <v>50</v>
          </cell>
          <cell r="C41">
            <v>0</v>
          </cell>
          <cell r="D41">
            <v>50</v>
          </cell>
          <cell r="E41">
            <v>3.95</v>
          </cell>
          <cell r="F41">
            <v>0.5</v>
          </cell>
          <cell r="G41">
            <v>24.15</v>
          </cell>
          <cell r="H41">
            <v>116.9</v>
          </cell>
          <cell r="I41">
            <v>0.05</v>
          </cell>
          <cell r="J41">
            <v>0</v>
          </cell>
          <cell r="K41">
            <v>0</v>
          </cell>
          <cell r="L41">
            <v>0.65</v>
          </cell>
          <cell r="M41">
            <v>11.5</v>
          </cell>
          <cell r="N41">
            <v>43.5</v>
          </cell>
          <cell r="O41">
            <v>16.5</v>
          </cell>
          <cell r="P41">
            <v>0.55000000000000004</v>
          </cell>
          <cell r="Q41" t="str">
            <v>ПР</v>
          </cell>
          <cell r="R41">
            <v>0</v>
          </cell>
        </row>
        <row r="42">
          <cell r="A42">
            <v>0</v>
          </cell>
          <cell r="B42">
            <v>0</v>
          </cell>
          <cell r="C42">
            <v>0</v>
          </cell>
          <cell r="D42">
            <v>50</v>
          </cell>
          <cell r="E42">
            <v>3.95</v>
          </cell>
          <cell r="F42">
            <v>0.5</v>
          </cell>
          <cell r="G42">
            <v>24.15</v>
          </cell>
          <cell r="H42">
            <v>116.9</v>
          </cell>
          <cell r="I42">
            <v>0.05</v>
          </cell>
          <cell r="J42">
            <v>0</v>
          </cell>
          <cell r="K42">
            <v>0</v>
          </cell>
          <cell r="L42">
            <v>0.65</v>
          </cell>
          <cell r="M42">
            <v>11.5</v>
          </cell>
          <cell r="N42">
            <v>43.5</v>
          </cell>
          <cell r="O42">
            <v>16.5</v>
          </cell>
          <cell r="P42">
            <v>0.55000000000000004</v>
          </cell>
          <cell r="Q42">
            <v>0</v>
          </cell>
          <cell r="R42">
            <v>0</v>
          </cell>
        </row>
        <row r="43">
          <cell r="A43" t="str">
            <v>ХЛЕБ ПШЕНИЧНЫЙ</v>
          </cell>
          <cell r="B43">
            <v>30</v>
          </cell>
          <cell r="C43">
            <v>0</v>
          </cell>
          <cell r="D43">
            <v>30</v>
          </cell>
          <cell r="E43">
            <v>2.37</v>
          </cell>
          <cell r="F43">
            <v>0.3</v>
          </cell>
          <cell r="G43">
            <v>14.49</v>
          </cell>
          <cell r="H43">
            <v>70.14</v>
          </cell>
          <cell r="I43">
            <v>0.03</v>
          </cell>
          <cell r="J43">
            <v>0</v>
          </cell>
          <cell r="K43">
            <v>0</v>
          </cell>
          <cell r="L43">
            <v>0.39</v>
          </cell>
          <cell r="M43">
            <v>6.9</v>
          </cell>
          <cell r="N43">
            <v>26.1</v>
          </cell>
          <cell r="O43">
            <v>9.9</v>
          </cell>
          <cell r="P43">
            <v>0.33</v>
          </cell>
          <cell r="Q43" t="str">
            <v>ПР</v>
          </cell>
          <cell r="R43">
            <v>0</v>
          </cell>
        </row>
        <row r="44">
          <cell r="A44">
            <v>0</v>
          </cell>
          <cell r="B44">
            <v>0</v>
          </cell>
          <cell r="C44">
            <v>0</v>
          </cell>
          <cell r="D44">
            <v>50</v>
          </cell>
          <cell r="E44">
            <v>3.95</v>
          </cell>
          <cell r="F44">
            <v>0.5</v>
          </cell>
          <cell r="G44">
            <v>24.15</v>
          </cell>
          <cell r="H44">
            <v>116.9</v>
          </cell>
          <cell r="I44">
            <v>0.05</v>
          </cell>
          <cell r="J44">
            <v>0</v>
          </cell>
          <cell r="K44">
            <v>0</v>
          </cell>
          <cell r="L44">
            <v>0.65</v>
          </cell>
          <cell r="M44">
            <v>11.5</v>
          </cell>
          <cell r="N44">
            <v>43.5</v>
          </cell>
          <cell r="O44">
            <v>16.5</v>
          </cell>
          <cell r="P44">
            <v>0.55000000000000004</v>
          </cell>
          <cell r="Q44">
            <v>0</v>
          </cell>
          <cell r="R44">
            <v>0</v>
          </cell>
        </row>
        <row r="45">
          <cell r="A45" t="str">
            <v>ХЛЕБ РЖАНО-ПШЕНИЧНЫЙ</v>
          </cell>
          <cell r="B45">
            <v>20</v>
          </cell>
          <cell r="C45">
            <v>0</v>
          </cell>
          <cell r="D45">
            <v>20</v>
          </cell>
          <cell r="E45">
            <v>1.1200000000000001</v>
          </cell>
          <cell r="F45">
            <v>0.22</v>
          </cell>
          <cell r="G45">
            <v>9.8800000000000008</v>
          </cell>
          <cell r="H45">
            <v>45.98</v>
          </cell>
          <cell r="I45">
            <v>0.02</v>
          </cell>
          <cell r="J45">
            <v>0</v>
          </cell>
          <cell r="K45">
            <v>0</v>
          </cell>
          <cell r="L45">
            <v>0.18</v>
          </cell>
          <cell r="M45">
            <v>4.5999999999999996</v>
          </cell>
          <cell r="N45">
            <v>21.2</v>
          </cell>
          <cell r="O45">
            <v>5</v>
          </cell>
          <cell r="P45">
            <v>0.62</v>
          </cell>
          <cell r="Q45" t="str">
            <v>ПР</v>
          </cell>
          <cell r="R45">
            <v>0</v>
          </cell>
        </row>
        <row r="46">
          <cell r="A46">
            <v>0</v>
          </cell>
          <cell r="B46">
            <v>0</v>
          </cell>
          <cell r="C46">
            <v>0</v>
          </cell>
          <cell r="D46">
            <v>50</v>
          </cell>
          <cell r="E46">
            <v>2.8</v>
          </cell>
          <cell r="F46">
            <v>0.55000000000000004</v>
          </cell>
          <cell r="G46">
            <v>24.7</v>
          </cell>
          <cell r="H46">
            <v>114.95</v>
          </cell>
          <cell r="I46">
            <v>0.05</v>
          </cell>
          <cell r="J46">
            <v>0</v>
          </cell>
          <cell r="K46">
            <v>0</v>
          </cell>
          <cell r="L46">
            <v>0.45</v>
          </cell>
          <cell r="M46">
            <v>11.5</v>
          </cell>
          <cell r="N46">
            <v>53</v>
          </cell>
          <cell r="O46">
            <v>12.5</v>
          </cell>
          <cell r="P46">
            <v>1.55</v>
          </cell>
          <cell r="Q46">
            <v>0</v>
          </cell>
          <cell r="R46">
            <v>0</v>
          </cell>
        </row>
        <row r="47">
          <cell r="A47" t="str">
            <v xml:space="preserve">ХЛЕБ РЖАНО-ПШЕНИЧНЫЙ </v>
          </cell>
          <cell r="B47">
            <v>20</v>
          </cell>
          <cell r="C47">
            <v>0</v>
          </cell>
          <cell r="D47">
            <v>20</v>
          </cell>
          <cell r="E47">
            <v>1.1200000000000001</v>
          </cell>
          <cell r="F47">
            <v>0.22</v>
          </cell>
          <cell r="G47">
            <v>9.8800000000000008</v>
          </cell>
          <cell r="H47">
            <v>45.98</v>
          </cell>
          <cell r="I47">
            <v>0.02</v>
          </cell>
          <cell r="J47">
            <v>0</v>
          </cell>
          <cell r="K47">
            <v>0</v>
          </cell>
          <cell r="L47">
            <v>0.18</v>
          </cell>
          <cell r="M47">
            <v>4.5999999999999996</v>
          </cell>
          <cell r="N47">
            <v>21.2</v>
          </cell>
          <cell r="O47">
            <v>5</v>
          </cell>
          <cell r="P47">
            <v>0.62</v>
          </cell>
          <cell r="Q47" t="str">
            <v>ПР</v>
          </cell>
          <cell r="R47">
            <v>0</v>
          </cell>
        </row>
        <row r="48">
          <cell r="A48">
            <v>0</v>
          </cell>
          <cell r="B48">
            <v>0</v>
          </cell>
          <cell r="C48">
            <v>0</v>
          </cell>
          <cell r="D48">
            <v>50</v>
          </cell>
          <cell r="E48">
            <v>2.8</v>
          </cell>
          <cell r="F48">
            <v>0.55000000000000004</v>
          </cell>
          <cell r="G48">
            <v>24.7</v>
          </cell>
          <cell r="H48">
            <v>114.95</v>
          </cell>
          <cell r="I48">
            <v>0.05</v>
          </cell>
          <cell r="J48">
            <v>0</v>
          </cell>
          <cell r="K48">
            <v>0</v>
          </cell>
          <cell r="L48">
            <v>0.45</v>
          </cell>
          <cell r="M48">
            <v>11.5</v>
          </cell>
          <cell r="N48">
            <v>53</v>
          </cell>
          <cell r="O48">
            <v>12.5</v>
          </cell>
          <cell r="P48">
            <v>1.55</v>
          </cell>
          <cell r="Q48">
            <v>0</v>
          </cell>
          <cell r="R48">
            <v>0</v>
          </cell>
        </row>
        <row r="49">
          <cell r="A49" t="str">
            <v xml:space="preserve">ИЗДЕЛИЕ КОНДИТЕРСКОЕ </v>
          </cell>
          <cell r="B49">
            <v>20</v>
          </cell>
          <cell r="C49">
            <v>0</v>
          </cell>
          <cell r="D49">
            <v>20</v>
          </cell>
          <cell r="E49">
            <v>0.13</v>
          </cell>
          <cell r="F49">
            <v>0</v>
          </cell>
          <cell r="G49">
            <v>16</v>
          </cell>
          <cell r="H49">
            <v>64.510000000000005</v>
          </cell>
          <cell r="I49">
            <v>0</v>
          </cell>
          <cell r="J49">
            <v>0</v>
          </cell>
          <cell r="K49">
            <v>0</v>
          </cell>
          <cell r="L49">
            <v>0</v>
          </cell>
          <cell r="M49">
            <v>5.36</v>
          </cell>
          <cell r="N49">
            <v>2.64</v>
          </cell>
          <cell r="O49">
            <v>1.36</v>
          </cell>
          <cell r="P49">
            <v>0.24</v>
          </cell>
          <cell r="Q49" t="str">
            <v>ПР</v>
          </cell>
          <cell r="R49">
            <v>0</v>
          </cell>
        </row>
        <row r="50">
          <cell r="A50">
            <v>0</v>
          </cell>
          <cell r="B50">
            <v>0</v>
          </cell>
          <cell r="C50">
            <v>0</v>
          </cell>
          <cell r="D50">
            <v>20</v>
          </cell>
          <cell r="E50">
            <v>0.13</v>
          </cell>
          <cell r="F50">
            <v>0</v>
          </cell>
          <cell r="G50">
            <v>16</v>
          </cell>
          <cell r="H50">
            <v>64.510000000000005</v>
          </cell>
          <cell r="I50">
            <v>0</v>
          </cell>
          <cell r="J50">
            <v>0</v>
          </cell>
          <cell r="K50">
            <v>0</v>
          </cell>
          <cell r="L50">
            <v>0</v>
          </cell>
          <cell r="M50">
            <v>5.36</v>
          </cell>
          <cell r="N50">
            <v>2.64</v>
          </cell>
          <cell r="O50">
            <v>1.36</v>
          </cell>
          <cell r="P50">
            <v>0.24</v>
          </cell>
          <cell r="Q50">
            <v>0</v>
          </cell>
          <cell r="R50">
            <v>0</v>
          </cell>
        </row>
        <row r="51">
          <cell r="A51" t="str">
            <v>ИЗДЕЛИЕ КОНДИТЕРСКОЕ (ПЕЧЕНЬЕ)</v>
          </cell>
          <cell r="B51">
            <v>20</v>
          </cell>
          <cell r="C51">
            <v>0</v>
          </cell>
          <cell r="D51">
            <v>20</v>
          </cell>
          <cell r="E51">
            <v>1.7</v>
          </cell>
          <cell r="F51">
            <v>2.2599999999999998</v>
          </cell>
          <cell r="G51">
            <v>73</v>
          </cell>
          <cell r="H51">
            <v>79</v>
          </cell>
          <cell r="I51">
            <v>0.02</v>
          </cell>
          <cell r="J51">
            <v>0</v>
          </cell>
          <cell r="K51">
            <v>13</v>
          </cell>
          <cell r="L51">
            <v>0.26</v>
          </cell>
          <cell r="M51">
            <v>8.1999999999999993</v>
          </cell>
          <cell r="N51">
            <v>17.399999999999999</v>
          </cell>
          <cell r="O51">
            <v>3</v>
          </cell>
          <cell r="P51">
            <v>0.2</v>
          </cell>
          <cell r="Q51" t="str">
            <v>ПР</v>
          </cell>
          <cell r="R51">
            <v>0</v>
          </cell>
        </row>
        <row r="52">
          <cell r="A52">
            <v>0</v>
          </cell>
          <cell r="B52">
            <v>0</v>
          </cell>
          <cell r="C52">
            <v>0</v>
          </cell>
          <cell r="D52">
            <v>20</v>
          </cell>
          <cell r="E52">
            <v>1.7</v>
          </cell>
          <cell r="F52">
            <v>2.2599999999999998</v>
          </cell>
          <cell r="G52">
            <v>13.94</v>
          </cell>
          <cell r="H52">
            <v>82.9</v>
          </cell>
          <cell r="I52">
            <v>0.02</v>
          </cell>
          <cell r="J52">
            <v>0</v>
          </cell>
          <cell r="K52">
            <v>13</v>
          </cell>
          <cell r="L52">
            <v>0.26</v>
          </cell>
          <cell r="M52">
            <v>8.1999999999999993</v>
          </cell>
          <cell r="N52">
            <v>17.399999999999999</v>
          </cell>
          <cell r="O52">
            <v>3</v>
          </cell>
          <cell r="P52">
            <v>0.2</v>
          </cell>
          <cell r="Q52">
            <v>0</v>
          </cell>
          <cell r="R52">
            <v>0</v>
          </cell>
        </row>
      </sheetData>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Лист2"/>
      <sheetName val="4"/>
      <sheetName val="5"/>
      <sheetName val="6"/>
      <sheetName val="7"/>
      <sheetName val="8"/>
      <sheetName val="Лист3"/>
      <sheetName val="9"/>
      <sheetName val="10"/>
      <sheetName val="11"/>
      <sheetName val="12"/>
      <sheetName val="Норма"/>
      <sheetName val="Cалаты"/>
      <sheetName val="Мясо"/>
      <sheetName val="Каши"/>
      <sheetName val="Супы"/>
      <sheetName val="Выпека"/>
      <sheetName val="Напитки"/>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ХЛЕБ РЖАНОЙ (20)</v>
          </cell>
          <cell r="B5">
            <v>20</v>
          </cell>
          <cell r="D5">
            <v>20</v>
          </cell>
          <cell r="E5">
            <v>1.1200000000000001</v>
          </cell>
          <cell r="F5">
            <v>0.22</v>
          </cell>
          <cell r="G5">
            <v>9.8800000000000008</v>
          </cell>
          <cell r="H5">
            <v>45.98</v>
          </cell>
          <cell r="I5">
            <v>0.02</v>
          </cell>
          <cell r="K5">
            <v>0</v>
          </cell>
          <cell r="L5">
            <v>0</v>
          </cell>
          <cell r="M5">
            <v>0.18</v>
          </cell>
          <cell r="N5">
            <v>4.5999999999999996</v>
          </cell>
          <cell r="O5">
            <v>21.2</v>
          </cell>
          <cell r="P5">
            <v>5</v>
          </cell>
          <cell r="Q5">
            <v>0.62</v>
          </cell>
          <cell r="V5" t="str">
            <v>ПР</v>
          </cell>
        </row>
        <row r="6">
          <cell r="D6">
            <v>50</v>
          </cell>
          <cell r="E6">
            <v>2.8</v>
          </cell>
          <cell r="F6">
            <v>0.55000000000000004</v>
          </cell>
          <cell r="G6">
            <v>24.7</v>
          </cell>
          <cell r="H6">
            <v>114.95</v>
          </cell>
          <cell r="I6">
            <v>0.05</v>
          </cell>
          <cell r="K6">
            <v>0</v>
          </cell>
          <cell r="L6">
            <v>0</v>
          </cell>
          <cell r="M6">
            <v>0.45</v>
          </cell>
          <cell r="N6">
            <v>11.5</v>
          </cell>
          <cell r="O6">
            <v>53</v>
          </cell>
          <cell r="P6">
            <v>12.5</v>
          </cell>
          <cell r="Q6">
            <v>1.55</v>
          </cell>
        </row>
        <row r="7">
          <cell r="A7" t="str">
            <v>ХЛЕБ ПШЕНИЧНЫЙ (60)</v>
          </cell>
          <cell r="B7">
            <v>60</v>
          </cell>
          <cell r="D7">
            <v>60</v>
          </cell>
          <cell r="E7">
            <v>4.74</v>
          </cell>
          <cell r="F7">
            <v>0.6</v>
          </cell>
          <cell r="G7">
            <v>28.98</v>
          </cell>
          <cell r="H7">
            <v>140.28</v>
          </cell>
          <cell r="I7">
            <v>0.06</v>
          </cell>
          <cell r="K7">
            <v>0</v>
          </cell>
          <cell r="L7">
            <v>0</v>
          </cell>
          <cell r="M7">
            <v>0.78</v>
          </cell>
          <cell r="N7">
            <v>13.8</v>
          </cell>
          <cell r="O7">
            <v>52.2</v>
          </cell>
          <cell r="P7">
            <v>19.8</v>
          </cell>
          <cell r="Q7">
            <v>0.66</v>
          </cell>
          <cell r="V7" t="str">
            <v>ПР</v>
          </cell>
        </row>
        <row r="8">
          <cell r="D8">
            <v>50</v>
          </cell>
          <cell r="E8">
            <v>3.95</v>
          </cell>
          <cell r="F8">
            <v>0.5</v>
          </cell>
          <cell r="G8">
            <v>24.15</v>
          </cell>
          <cell r="H8">
            <v>116.9</v>
          </cell>
          <cell r="I8">
            <v>0.05</v>
          </cell>
          <cell r="K8">
            <v>0</v>
          </cell>
          <cell r="L8">
            <v>0</v>
          </cell>
          <cell r="M8">
            <v>0.65</v>
          </cell>
          <cell r="N8">
            <v>11.5</v>
          </cell>
          <cell r="O8">
            <v>43.5</v>
          </cell>
          <cell r="P8">
            <v>16.5</v>
          </cell>
          <cell r="Q8">
            <v>0.55000000000000004</v>
          </cell>
        </row>
        <row r="9">
          <cell r="A9" t="str">
            <v>ПИРОЖКИ ПЕЧЕНЫЕ ИЗ ДРОЖЖЕВОГО ТЕСТА (С КАРТОФЕЛЕМ)</v>
          </cell>
          <cell r="B9">
            <v>75</v>
          </cell>
          <cell r="D9">
            <v>75</v>
          </cell>
          <cell r="E9">
            <v>4.51</v>
          </cell>
          <cell r="F9">
            <v>2.2999999999999998</v>
          </cell>
          <cell r="G9">
            <v>30.41</v>
          </cell>
          <cell r="H9">
            <v>160</v>
          </cell>
          <cell r="I9">
            <v>0.09</v>
          </cell>
          <cell r="K9">
            <v>0.5</v>
          </cell>
          <cell r="L9">
            <v>0</v>
          </cell>
          <cell r="M9">
            <v>0</v>
          </cell>
          <cell r="N9">
            <v>14.94</v>
          </cell>
          <cell r="O9">
            <v>50.34</v>
          </cell>
          <cell r="P9">
            <v>20.170000000000002</v>
          </cell>
          <cell r="Q9">
            <v>0.9</v>
          </cell>
          <cell r="V9">
            <v>406</v>
          </cell>
        </row>
        <row r="10">
          <cell r="D10">
            <v>75</v>
          </cell>
          <cell r="E10">
            <v>4.51</v>
          </cell>
          <cell r="F10">
            <v>2.2999999999999998</v>
          </cell>
          <cell r="G10">
            <v>30.41</v>
          </cell>
          <cell r="H10">
            <v>160</v>
          </cell>
          <cell r="I10">
            <v>0.09</v>
          </cell>
          <cell r="K10">
            <v>0.5</v>
          </cell>
          <cell r="L10">
            <v>0</v>
          </cell>
          <cell r="N10">
            <v>14.94</v>
          </cell>
          <cell r="O10">
            <v>50.34</v>
          </cell>
          <cell r="P10">
            <v>20.170000000000002</v>
          </cell>
          <cell r="Q10">
            <v>0.9</v>
          </cell>
        </row>
        <row r="11">
          <cell r="A11" t="str">
            <v>ВАТРУШКИ (ПОВИДЛО)</v>
          </cell>
          <cell r="B11">
            <v>75</v>
          </cell>
          <cell r="D11">
            <v>75</v>
          </cell>
          <cell r="E11">
            <v>4.46</v>
          </cell>
          <cell r="F11">
            <v>2.98</v>
          </cell>
          <cell r="G11">
            <v>44.12</v>
          </cell>
          <cell r="H11">
            <v>222</v>
          </cell>
          <cell r="I11">
            <v>0.08</v>
          </cell>
          <cell r="K11">
            <v>0.08</v>
          </cell>
          <cell r="L11">
            <v>18</v>
          </cell>
          <cell r="M11">
            <v>0</v>
          </cell>
          <cell r="N11">
            <v>15.6</v>
          </cell>
          <cell r="O11">
            <v>42.8</v>
          </cell>
          <cell r="P11">
            <v>17.399999999999999</v>
          </cell>
          <cell r="Q11">
            <v>1.08</v>
          </cell>
          <cell r="V11">
            <v>410</v>
          </cell>
        </row>
        <row r="12">
          <cell r="D12">
            <v>75</v>
          </cell>
          <cell r="E12">
            <v>4.46</v>
          </cell>
          <cell r="F12">
            <v>2.98</v>
          </cell>
          <cell r="G12">
            <v>44.12</v>
          </cell>
          <cell r="H12">
            <v>222</v>
          </cell>
          <cell r="I12">
            <v>0.08</v>
          </cell>
          <cell r="K12">
            <v>0.08</v>
          </cell>
          <cell r="L12">
            <v>18</v>
          </cell>
          <cell r="N12">
            <v>15.6</v>
          </cell>
          <cell r="O12">
            <v>42.8</v>
          </cell>
          <cell r="P12">
            <v>17.399999999999999</v>
          </cell>
          <cell r="Q12">
            <v>1.08</v>
          </cell>
        </row>
        <row r="13">
          <cell r="A13" t="str">
            <v>ВАТРУШКА</v>
          </cell>
          <cell r="B13">
            <v>100</v>
          </cell>
          <cell r="D13">
            <v>100</v>
          </cell>
          <cell r="E13">
            <v>12.293333333333335</v>
          </cell>
          <cell r="F13">
            <v>7.3066666666666666</v>
          </cell>
          <cell r="G13">
            <v>38.906666666666666</v>
          </cell>
          <cell r="H13">
            <v>269.33333333333331</v>
          </cell>
          <cell r="I13">
            <v>0.10666666666666667</v>
          </cell>
          <cell r="J13">
            <v>12.3</v>
          </cell>
          <cell r="K13">
            <v>5.3333333333333337E-2</v>
          </cell>
          <cell r="L13">
            <v>45.333333333333336</v>
          </cell>
          <cell r="M13">
            <v>0.2</v>
          </cell>
          <cell r="N13">
            <v>67.733333333333334</v>
          </cell>
          <cell r="O13">
            <v>120.26666666666667</v>
          </cell>
          <cell r="P13">
            <v>28.8</v>
          </cell>
          <cell r="Q13">
            <v>1.2</v>
          </cell>
          <cell r="R13">
            <v>0</v>
          </cell>
          <cell r="S13">
            <v>1.8</v>
          </cell>
          <cell r="T13">
            <v>16</v>
          </cell>
          <cell r="U13">
            <v>0.2</v>
          </cell>
          <cell r="V13">
            <v>410</v>
          </cell>
        </row>
        <row r="14">
          <cell r="D14">
            <v>75</v>
          </cell>
          <cell r="E14">
            <v>9.2200000000000006</v>
          </cell>
          <cell r="F14">
            <v>5.48</v>
          </cell>
          <cell r="G14">
            <v>29.18</v>
          </cell>
          <cell r="H14">
            <v>202</v>
          </cell>
          <cell r="I14">
            <v>0.08</v>
          </cell>
          <cell r="K14">
            <v>0.04</v>
          </cell>
          <cell r="L14">
            <v>34</v>
          </cell>
          <cell r="N14">
            <v>50.8</v>
          </cell>
          <cell r="O14">
            <v>90.2</v>
          </cell>
          <cell r="P14">
            <v>21.6</v>
          </cell>
          <cell r="Q14">
            <v>0.9</v>
          </cell>
        </row>
        <row r="15">
          <cell r="A15" t="str">
            <v>ПИРОГ ОТКРЫТЫЙ</v>
          </cell>
          <cell r="B15">
            <v>1000</v>
          </cell>
          <cell r="D15">
            <v>1000</v>
          </cell>
          <cell r="E15">
            <v>61.8</v>
          </cell>
          <cell r="F15">
            <v>32.200000000000003</v>
          </cell>
          <cell r="G15">
            <v>553.20000000000005</v>
          </cell>
          <cell r="H15">
            <v>2750</v>
          </cell>
          <cell r="I15">
            <v>1.1000000000000001</v>
          </cell>
          <cell r="K15">
            <v>0.8</v>
          </cell>
          <cell r="L15">
            <v>170</v>
          </cell>
          <cell r="M15">
            <v>0</v>
          </cell>
          <cell r="N15">
            <v>195</v>
          </cell>
          <cell r="O15">
            <v>614</v>
          </cell>
          <cell r="P15">
            <v>241</v>
          </cell>
          <cell r="Q15">
            <v>13.9</v>
          </cell>
          <cell r="V15">
            <v>414</v>
          </cell>
        </row>
        <row r="16">
          <cell r="D16">
            <v>1000</v>
          </cell>
          <cell r="E16">
            <v>61.8</v>
          </cell>
          <cell r="F16">
            <v>32.200000000000003</v>
          </cell>
          <cell r="G16">
            <v>553.20000000000005</v>
          </cell>
          <cell r="H16">
            <v>2750</v>
          </cell>
          <cell r="I16">
            <v>1.1000000000000001</v>
          </cell>
          <cell r="K16">
            <v>0.8</v>
          </cell>
          <cell r="L16">
            <v>170</v>
          </cell>
          <cell r="N16">
            <v>195</v>
          </cell>
          <cell r="O16">
            <v>614</v>
          </cell>
          <cell r="P16">
            <v>241</v>
          </cell>
          <cell r="Q16">
            <v>13.9</v>
          </cell>
        </row>
        <row r="17">
          <cell r="A17" t="str">
            <v>СЛОЙКА С ПОВИДЛОМ</v>
          </cell>
          <cell r="B17">
            <v>90</v>
          </cell>
          <cell r="D17">
            <v>90</v>
          </cell>
          <cell r="E17">
            <v>5.7360000000000007</v>
          </cell>
          <cell r="F17">
            <v>10.608000000000001</v>
          </cell>
          <cell r="G17">
            <v>45.647999999999996</v>
          </cell>
          <cell r="H17">
            <v>300</v>
          </cell>
          <cell r="I17">
            <v>9.6000000000000002E-2</v>
          </cell>
          <cell r="J17">
            <v>0</v>
          </cell>
          <cell r="K17">
            <v>0</v>
          </cell>
          <cell r="L17">
            <v>14.4</v>
          </cell>
          <cell r="M17">
            <v>0</v>
          </cell>
          <cell r="N17">
            <v>18</v>
          </cell>
          <cell r="O17">
            <v>57.6</v>
          </cell>
          <cell r="P17">
            <v>20.64</v>
          </cell>
          <cell r="Q17">
            <v>1.1279999999999999</v>
          </cell>
          <cell r="R17">
            <v>0</v>
          </cell>
          <cell r="S17">
            <v>0</v>
          </cell>
          <cell r="T17">
            <v>0</v>
          </cell>
          <cell r="U17">
            <v>0</v>
          </cell>
          <cell r="V17">
            <v>418</v>
          </cell>
        </row>
        <row r="18">
          <cell r="D18">
            <v>75</v>
          </cell>
          <cell r="E18">
            <v>4.78</v>
          </cell>
          <cell r="F18">
            <v>8.84</v>
          </cell>
          <cell r="G18">
            <v>38.04</v>
          </cell>
          <cell r="H18">
            <v>250</v>
          </cell>
          <cell r="I18">
            <v>0.08</v>
          </cell>
          <cell r="K18">
            <v>0</v>
          </cell>
          <cell r="L18">
            <v>12</v>
          </cell>
          <cell r="N18">
            <v>15</v>
          </cell>
          <cell r="O18">
            <v>48</v>
          </cell>
          <cell r="P18">
            <v>17.2</v>
          </cell>
          <cell r="Q18">
            <v>0.94</v>
          </cell>
        </row>
        <row r="19">
          <cell r="A19" t="str">
            <v>ПИРОЖКИ ПЕСОЧНЫЕ С ЯБЛОКОМ</v>
          </cell>
          <cell r="B19">
            <v>75</v>
          </cell>
          <cell r="D19">
            <v>75</v>
          </cell>
          <cell r="E19">
            <v>4.96</v>
          </cell>
          <cell r="F19">
            <v>8.14</v>
          </cell>
          <cell r="G19">
            <v>36.24</v>
          </cell>
          <cell r="H19">
            <v>238</v>
          </cell>
          <cell r="I19">
            <v>0.06</v>
          </cell>
          <cell r="K19">
            <v>0.26</v>
          </cell>
          <cell r="L19">
            <v>18</v>
          </cell>
          <cell r="M19">
            <v>0</v>
          </cell>
          <cell r="N19">
            <v>24</v>
          </cell>
          <cell r="O19">
            <v>49.8</v>
          </cell>
          <cell r="P19">
            <v>15.2</v>
          </cell>
          <cell r="Q19">
            <v>1.1399999999999999</v>
          </cell>
          <cell r="V19">
            <v>419</v>
          </cell>
        </row>
        <row r="20">
          <cell r="D20">
            <v>75</v>
          </cell>
          <cell r="E20">
            <v>4.96</v>
          </cell>
          <cell r="F20">
            <v>8.14</v>
          </cell>
          <cell r="G20">
            <v>36.24</v>
          </cell>
          <cell r="H20">
            <v>238</v>
          </cell>
          <cell r="I20">
            <v>0.06</v>
          </cell>
          <cell r="K20">
            <v>0.26</v>
          </cell>
          <cell r="L20">
            <v>18</v>
          </cell>
          <cell r="N20">
            <v>24</v>
          </cell>
          <cell r="O20">
            <v>49.8</v>
          </cell>
          <cell r="P20">
            <v>15.2</v>
          </cell>
          <cell r="Q20">
            <v>1.1399999999999999</v>
          </cell>
        </row>
        <row r="21">
          <cell r="A21" t="str">
            <v>БУЛОЧКА ДОМАШНЯЯ</v>
          </cell>
          <cell r="B21">
            <v>100</v>
          </cell>
          <cell r="D21">
            <v>100</v>
          </cell>
          <cell r="E21">
            <v>7.28</v>
          </cell>
          <cell r="F21">
            <v>12.52</v>
          </cell>
          <cell r="G21">
            <v>43.92</v>
          </cell>
          <cell r="H21">
            <v>318</v>
          </cell>
          <cell r="I21">
            <v>0.12</v>
          </cell>
          <cell r="K21">
            <v>0</v>
          </cell>
          <cell r="L21">
            <v>4</v>
          </cell>
          <cell r="M21">
            <v>0</v>
          </cell>
          <cell r="N21">
            <v>19.8</v>
          </cell>
          <cell r="O21">
            <v>70</v>
          </cell>
          <cell r="P21">
            <v>27.4</v>
          </cell>
          <cell r="Q21">
            <v>1.3</v>
          </cell>
          <cell r="V21">
            <v>424</v>
          </cell>
        </row>
        <row r="22">
          <cell r="D22">
            <v>100</v>
          </cell>
          <cell r="E22">
            <v>7.28</v>
          </cell>
          <cell r="F22">
            <v>12.52</v>
          </cell>
          <cell r="G22">
            <v>43.92</v>
          </cell>
          <cell r="H22">
            <v>318</v>
          </cell>
          <cell r="I22">
            <v>0.12</v>
          </cell>
          <cell r="K22">
            <v>0</v>
          </cell>
          <cell r="L22">
            <v>4</v>
          </cell>
          <cell r="N22">
            <v>19.8</v>
          </cell>
          <cell r="O22">
            <v>70</v>
          </cell>
          <cell r="P22">
            <v>27.4</v>
          </cell>
          <cell r="Q22">
            <v>1.3</v>
          </cell>
        </row>
        <row r="23">
          <cell r="A23" t="str">
            <v>БУЛОЧКА ДОРОЖНАЯ</v>
          </cell>
          <cell r="B23">
            <v>100</v>
          </cell>
          <cell r="D23">
            <v>100</v>
          </cell>
          <cell r="E23">
            <v>6.78</v>
          </cell>
          <cell r="F23">
            <v>13.96</v>
          </cell>
          <cell r="G23">
            <v>42.14</v>
          </cell>
          <cell r="H23">
            <v>321</v>
          </cell>
          <cell r="I23">
            <v>0.12</v>
          </cell>
          <cell r="J23">
            <v>3.3</v>
          </cell>
          <cell r="K23">
            <v>0</v>
          </cell>
          <cell r="L23">
            <v>0</v>
          </cell>
          <cell r="M23">
            <v>0</v>
          </cell>
          <cell r="N23">
            <v>18.600000000000001</v>
          </cell>
          <cell r="O23">
            <v>64.2</v>
          </cell>
          <cell r="P23">
            <v>26.2</v>
          </cell>
          <cell r="Q23">
            <v>1.2</v>
          </cell>
          <cell r="R23">
            <v>0</v>
          </cell>
          <cell r="S23">
            <v>0</v>
          </cell>
          <cell r="T23">
            <v>0</v>
          </cell>
          <cell r="U23">
            <v>0</v>
          </cell>
          <cell r="V23">
            <v>425</v>
          </cell>
        </row>
        <row r="24">
          <cell r="D24">
            <v>100</v>
          </cell>
          <cell r="E24">
            <v>6.78</v>
          </cell>
          <cell r="F24">
            <v>13.96</v>
          </cell>
          <cell r="G24">
            <v>42.14</v>
          </cell>
          <cell r="H24">
            <v>321</v>
          </cell>
          <cell r="I24">
            <v>0.12</v>
          </cell>
          <cell r="K24">
            <v>0</v>
          </cell>
          <cell r="L24">
            <v>0</v>
          </cell>
          <cell r="N24">
            <v>18.600000000000001</v>
          </cell>
          <cell r="O24">
            <v>64.2</v>
          </cell>
          <cell r="P24">
            <v>26.2</v>
          </cell>
          <cell r="Q24">
            <v>1.2</v>
          </cell>
        </row>
        <row r="25">
          <cell r="A25" t="str">
            <v>БУЛОЧКА С ПОВИДЛОМ ОБСЫПНАЯ</v>
          </cell>
          <cell r="B25">
            <v>100</v>
          </cell>
          <cell r="D25">
            <v>100</v>
          </cell>
          <cell r="E25">
            <v>6.6</v>
          </cell>
          <cell r="F25">
            <v>14.36</v>
          </cell>
          <cell r="G25">
            <v>41.13</v>
          </cell>
          <cell r="H25">
            <v>320</v>
          </cell>
          <cell r="I25">
            <v>0.16</v>
          </cell>
          <cell r="J25">
            <v>2.2000000000000002</v>
          </cell>
          <cell r="K25">
            <v>0.04</v>
          </cell>
          <cell r="L25">
            <v>0</v>
          </cell>
          <cell r="M25">
            <v>0</v>
          </cell>
          <cell r="N25">
            <v>21.3</v>
          </cell>
          <cell r="O25">
            <v>76.8</v>
          </cell>
          <cell r="P25">
            <v>28.2</v>
          </cell>
          <cell r="Q25">
            <v>1.39</v>
          </cell>
          <cell r="R25">
            <v>0</v>
          </cell>
          <cell r="S25">
            <v>0</v>
          </cell>
          <cell r="T25">
            <v>0</v>
          </cell>
          <cell r="U25">
            <v>0</v>
          </cell>
          <cell r="V25">
            <v>426</v>
          </cell>
        </row>
        <row r="26">
          <cell r="D26">
            <v>100</v>
          </cell>
          <cell r="E26">
            <v>6.6</v>
          </cell>
          <cell r="F26">
            <v>14.36</v>
          </cell>
          <cell r="G26">
            <v>41.13</v>
          </cell>
          <cell r="H26">
            <v>320</v>
          </cell>
          <cell r="I26">
            <v>0.16</v>
          </cell>
          <cell r="K26">
            <v>0.04</v>
          </cell>
          <cell r="L26">
            <v>0</v>
          </cell>
          <cell r="N26">
            <v>21.3</v>
          </cell>
          <cell r="O26">
            <v>76.8</v>
          </cell>
          <cell r="P26">
            <v>28.2</v>
          </cell>
          <cell r="Q26">
            <v>1.39</v>
          </cell>
        </row>
        <row r="27">
          <cell r="A27" t="str">
            <v>БУЛОЧКА "ВЕСНУШКА"</v>
          </cell>
          <cell r="B27">
            <v>100</v>
          </cell>
          <cell r="D27">
            <v>100</v>
          </cell>
          <cell r="E27">
            <v>7.8</v>
          </cell>
          <cell r="F27">
            <v>6.12</v>
          </cell>
          <cell r="G27">
            <v>47.8</v>
          </cell>
          <cell r="H27">
            <v>278</v>
          </cell>
          <cell r="I27">
            <v>0.14000000000000001</v>
          </cell>
          <cell r="J27">
            <v>3.29</v>
          </cell>
          <cell r="K27">
            <v>0</v>
          </cell>
          <cell r="L27">
            <v>6</v>
          </cell>
          <cell r="M27">
            <v>0</v>
          </cell>
          <cell r="N27">
            <v>22.6</v>
          </cell>
          <cell r="O27">
            <v>78.400000000000006</v>
          </cell>
          <cell r="P27">
            <v>30.4</v>
          </cell>
          <cell r="Q27">
            <v>1.46</v>
          </cell>
          <cell r="R27">
            <v>0</v>
          </cell>
          <cell r="S27">
            <v>0</v>
          </cell>
          <cell r="T27">
            <v>0</v>
          </cell>
          <cell r="U27">
            <v>0</v>
          </cell>
          <cell r="V27">
            <v>429</v>
          </cell>
        </row>
        <row r="28">
          <cell r="D28">
            <v>50</v>
          </cell>
          <cell r="E28">
            <v>3.9</v>
          </cell>
          <cell r="F28">
            <v>3.06</v>
          </cell>
          <cell r="G28">
            <v>23.9</v>
          </cell>
          <cell r="H28">
            <v>139</v>
          </cell>
          <cell r="I28">
            <v>7.0000000000000007E-2</v>
          </cell>
          <cell r="K28">
            <v>0</v>
          </cell>
          <cell r="L28">
            <v>3</v>
          </cell>
          <cell r="N28">
            <v>11.3</v>
          </cell>
          <cell r="O28">
            <v>39.200000000000003</v>
          </cell>
          <cell r="P28">
            <v>15.2</v>
          </cell>
          <cell r="Q28">
            <v>0.73</v>
          </cell>
        </row>
        <row r="29">
          <cell r="A29" t="str">
            <v>ХЛЕБ РЖАНОЙ (30)</v>
          </cell>
          <cell r="B29">
            <v>30</v>
          </cell>
          <cell r="D29">
            <v>30</v>
          </cell>
          <cell r="E29">
            <v>1.68</v>
          </cell>
          <cell r="F29">
            <v>0.33</v>
          </cell>
          <cell r="G29">
            <v>14.82</v>
          </cell>
          <cell r="H29">
            <v>68.97</v>
          </cell>
          <cell r="I29">
            <v>0.03</v>
          </cell>
          <cell r="K29">
            <v>0</v>
          </cell>
          <cell r="L29">
            <v>0</v>
          </cell>
          <cell r="M29">
            <v>0.27</v>
          </cell>
          <cell r="N29">
            <v>6.9</v>
          </cell>
          <cell r="O29">
            <v>31.8</v>
          </cell>
          <cell r="P29">
            <v>7.5</v>
          </cell>
          <cell r="Q29">
            <v>0.93</v>
          </cell>
          <cell r="V29" t="str">
            <v>ПР</v>
          </cell>
        </row>
        <row r="30">
          <cell r="D30">
            <v>50</v>
          </cell>
          <cell r="E30">
            <v>2.8</v>
          </cell>
          <cell r="F30">
            <v>0.55000000000000004</v>
          </cell>
          <cell r="G30">
            <v>24.7</v>
          </cell>
          <cell r="H30">
            <v>114.95</v>
          </cell>
          <cell r="I30">
            <v>0.05</v>
          </cell>
          <cell r="K30">
            <v>0</v>
          </cell>
          <cell r="L30">
            <v>0</v>
          </cell>
          <cell r="M30">
            <v>0.45</v>
          </cell>
          <cell r="N30">
            <v>11.5</v>
          </cell>
          <cell r="O30">
            <v>53</v>
          </cell>
          <cell r="P30">
            <v>12.5</v>
          </cell>
          <cell r="Q30">
            <v>1.55</v>
          </cell>
        </row>
        <row r="31">
          <cell r="A31" t="str">
            <v>СЛОЙКА ДЕТСКАЯ</v>
          </cell>
          <cell r="B31">
            <v>85</v>
          </cell>
          <cell r="D31">
            <v>85</v>
          </cell>
          <cell r="E31">
            <v>7.8879999999999999</v>
          </cell>
          <cell r="F31">
            <v>1.6830000000000001</v>
          </cell>
          <cell r="G31">
            <v>39.865000000000002</v>
          </cell>
          <cell r="H31">
            <v>205.7</v>
          </cell>
          <cell r="I31">
            <v>0.13600000000000001</v>
          </cell>
          <cell r="K31">
            <v>0.221</v>
          </cell>
          <cell r="L31">
            <v>5.0999999999999996</v>
          </cell>
          <cell r="M31">
            <v>0</v>
          </cell>
          <cell r="N31">
            <v>51.34</v>
          </cell>
          <cell r="O31">
            <v>87.89</v>
          </cell>
          <cell r="P31">
            <v>31.11</v>
          </cell>
          <cell r="Q31">
            <v>1.2409999999999999</v>
          </cell>
          <cell r="V31">
            <v>434</v>
          </cell>
        </row>
        <row r="32">
          <cell r="D32">
            <v>50</v>
          </cell>
          <cell r="E32">
            <v>4.6399999999999997</v>
          </cell>
          <cell r="F32">
            <v>0.99</v>
          </cell>
          <cell r="G32">
            <v>23.45</v>
          </cell>
          <cell r="H32">
            <v>121</v>
          </cell>
          <cell r="I32">
            <v>0.08</v>
          </cell>
          <cell r="K32">
            <v>0.13</v>
          </cell>
          <cell r="L32">
            <v>3</v>
          </cell>
          <cell r="N32">
            <v>30.2</v>
          </cell>
          <cell r="O32">
            <v>51.7</v>
          </cell>
          <cell r="P32">
            <v>18.3</v>
          </cell>
          <cell r="Q32">
            <v>0.73</v>
          </cell>
        </row>
        <row r="33">
          <cell r="A33" t="str">
            <v>ИЗДЕЛИЕ КОНДИТЕРСКОЕ</v>
          </cell>
          <cell r="B33">
            <v>75</v>
          </cell>
          <cell r="D33">
            <v>75</v>
          </cell>
          <cell r="E33">
            <v>1.34</v>
          </cell>
          <cell r="F33">
            <v>1.8</v>
          </cell>
          <cell r="G33">
            <v>43.06</v>
          </cell>
          <cell r="H33">
            <v>89</v>
          </cell>
          <cell r="I33">
            <v>7.0000000000000007E-2</v>
          </cell>
          <cell r="K33">
            <v>0</v>
          </cell>
          <cell r="L33">
            <v>89</v>
          </cell>
          <cell r="M33">
            <v>0</v>
          </cell>
          <cell r="N33">
            <v>27.5</v>
          </cell>
          <cell r="O33">
            <v>63.8</v>
          </cell>
          <cell r="P33">
            <v>17</v>
          </cell>
          <cell r="Q33">
            <v>1.2</v>
          </cell>
          <cell r="V33">
            <v>446</v>
          </cell>
        </row>
        <row r="34">
          <cell r="D34">
            <v>75</v>
          </cell>
          <cell r="E34">
            <v>4.57</v>
          </cell>
          <cell r="F34">
            <v>1.8</v>
          </cell>
          <cell r="G34">
            <v>43.06</v>
          </cell>
          <cell r="H34">
            <v>89</v>
          </cell>
          <cell r="I34">
            <v>7.0000000000000007E-2</v>
          </cell>
          <cell r="K34">
            <v>0</v>
          </cell>
          <cell r="L34">
            <v>89</v>
          </cell>
          <cell r="N34">
            <v>27.5</v>
          </cell>
          <cell r="O34">
            <v>63.8</v>
          </cell>
          <cell r="P34">
            <v>17</v>
          </cell>
          <cell r="Q34">
            <v>1.2</v>
          </cell>
        </row>
        <row r="35">
          <cell r="A35" t="str">
            <v>ХЛЕБ ПШЕНИЧНЫЙ (40)</v>
          </cell>
          <cell r="B35">
            <v>40</v>
          </cell>
          <cell r="D35">
            <v>40</v>
          </cell>
          <cell r="E35">
            <v>3.16</v>
          </cell>
          <cell r="F35">
            <v>0.4</v>
          </cell>
          <cell r="G35">
            <v>19.32</v>
          </cell>
          <cell r="H35">
            <v>93.52</v>
          </cell>
          <cell r="I35">
            <v>0.04</v>
          </cell>
          <cell r="K35">
            <v>0</v>
          </cell>
          <cell r="L35">
            <v>0</v>
          </cell>
          <cell r="M35">
            <v>0.52</v>
          </cell>
          <cell r="N35">
            <v>9.1999999999999993</v>
          </cell>
          <cell r="O35">
            <v>34.799999999999997</v>
          </cell>
          <cell r="P35">
            <v>13.2</v>
          </cell>
          <cell r="Q35">
            <v>0.44</v>
          </cell>
          <cell r="V35">
            <v>447</v>
          </cell>
        </row>
        <row r="36">
          <cell r="D36">
            <v>50</v>
          </cell>
          <cell r="E36">
            <v>3.95</v>
          </cell>
          <cell r="F36">
            <v>0.5</v>
          </cell>
          <cell r="G36">
            <v>24.15</v>
          </cell>
          <cell r="H36">
            <v>116.9</v>
          </cell>
          <cell r="I36">
            <v>0.05</v>
          </cell>
          <cell r="K36">
            <v>0</v>
          </cell>
          <cell r="L36">
            <v>0</v>
          </cell>
          <cell r="M36">
            <v>0.65</v>
          </cell>
          <cell r="N36">
            <v>11.5</v>
          </cell>
          <cell r="O36">
            <v>43.5</v>
          </cell>
          <cell r="P36">
            <v>16.5</v>
          </cell>
          <cell r="Q36">
            <v>0.55000000000000004</v>
          </cell>
        </row>
        <row r="37">
          <cell r="A37" t="str">
            <v>КОРЖИКИ МОЛОЧНЫЕ</v>
          </cell>
          <cell r="B37">
            <v>75</v>
          </cell>
          <cell r="D37">
            <v>75</v>
          </cell>
          <cell r="E37">
            <v>4.8899999999999997</v>
          </cell>
          <cell r="F37">
            <v>8.43</v>
          </cell>
          <cell r="G37">
            <v>47.68</v>
          </cell>
          <cell r="H37">
            <v>286</v>
          </cell>
          <cell r="I37">
            <v>0.08</v>
          </cell>
          <cell r="J37">
            <v>0</v>
          </cell>
          <cell r="K37">
            <v>0.05</v>
          </cell>
          <cell r="L37">
            <v>8</v>
          </cell>
          <cell r="M37">
            <v>0</v>
          </cell>
          <cell r="N37">
            <v>19.2</v>
          </cell>
          <cell r="O37">
            <v>48.5</v>
          </cell>
          <cell r="P37">
            <v>17.8</v>
          </cell>
          <cell r="Q37">
            <v>0.85</v>
          </cell>
          <cell r="R37">
            <v>0</v>
          </cell>
          <cell r="S37">
            <v>0</v>
          </cell>
          <cell r="T37">
            <v>0</v>
          </cell>
          <cell r="U37">
            <v>0</v>
          </cell>
          <cell r="V37">
            <v>456</v>
          </cell>
        </row>
        <row r="38">
          <cell r="D38">
            <v>75</v>
          </cell>
          <cell r="E38">
            <v>4.8899999999999997</v>
          </cell>
          <cell r="F38">
            <v>8.43</v>
          </cell>
          <cell r="G38">
            <v>47.68</v>
          </cell>
          <cell r="H38">
            <v>286</v>
          </cell>
          <cell r="I38">
            <v>0.08</v>
          </cell>
          <cell r="K38">
            <v>0.05</v>
          </cell>
          <cell r="L38">
            <v>8</v>
          </cell>
          <cell r="N38">
            <v>19.2</v>
          </cell>
          <cell r="O38">
            <v>48.5</v>
          </cell>
          <cell r="P38">
            <v>17.8</v>
          </cell>
          <cell r="Q38">
            <v>0.85</v>
          </cell>
        </row>
        <row r="39">
          <cell r="A39" t="str">
            <v>ХЛЕБ ПШЕНИЧНЫЙ (30)</v>
          </cell>
          <cell r="B39">
            <v>30</v>
          </cell>
          <cell r="D39">
            <v>30</v>
          </cell>
          <cell r="E39">
            <v>2.37</v>
          </cell>
          <cell r="F39">
            <v>0.3</v>
          </cell>
          <cell r="G39">
            <v>14.49</v>
          </cell>
          <cell r="H39">
            <v>70.14</v>
          </cell>
          <cell r="I39">
            <v>0.03</v>
          </cell>
          <cell r="K39">
            <v>0</v>
          </cell>
          <cell r="L39">
            <v>0</v>
          </cell>
          <cell r="M39">
            <v>0.39</v>
          </cell>
          <cell r="N39">
            <v>6.9</v>
          </cell>
          <cell r="O39">
            <v>26.1</v>
          </cell>
          <cell r="P39">
            <v>9.9</v>
          </cell>
          <cell r="Q39">
            <v>0.33</v>
          </cell>
          <cell r="V39" t="str">
            <v>ПР</v>
          </cell>
        </row>
        <row r="40">
          <cell r="D40">
            <v>50</v>
          </cell>
          <cell r="E40">
            <v>3.95</v>
          </cell>
          <cell r="F40">
            <v>0.5</v>
          </cell>
          <cell r="G40">
            <v>24.15</v>
          </cell>
          <cell r="H40">
            <v>116.9</v>
          </cell>
          <cell r="I40">
            <v>0.05</v>
          </cell>
          <cell r="K40">
            <v>0</v>
          </cell>
          <cell r="L40">
            <v>0</v>
          </cell>
          <cell r="M40">
            <v>0.65</v>
          </cell>
          <cell r="N40">
            <v>11.5</v>
          </cell>
          <cell r="O40">
            <v>43.5</v>
          </cell>
          <cell r="P40">
            <v>16.5</v>
          </cell>
          <cell r="Q40">
            <v>0.55000000000000004</v>
          </cell>
        </row>
        <row r="41">
          <cell r="A41" t="str">
            <v>ХЛЕБ РЖАНО ПШЕНИЧНЫЙ</v>
          </cell>
          <cell r="B41">
            <v>24</v>
          </cell>
          <cell r="D41">
            <v>24</v>
          </cell>
          <cell r="E41">
            <v>1.3439999999999999</v>
          </cell>
          <cell r="F41">
            <v>0.26400000000000001</v>
          </cell>
          <cell r="G41">
            <v>11.856</v>
          </cell>
          <cell r="H41">
            <v>55.176000000000002</v>
          </cell>
          <cell r="I41">
            <v>2.4000000000000004E-2</v>
          </cell>
          <cell r="K41">
            <v>0</v>
          </cell>
          <cell r="L41">
            <v>0</v>
          </cell>
          <cell r="M41">
            <v>0.21600000000000003</v>
          </cell>
          <cell r="N41">
            <v>5.52</v>
          </cell>
          <cell r="O41">
            <v>25.44</v>
          </cell>
          <cell r="P41">
            <v>6</v>
          </cell>
          <cell r="Q41">
            <v>0.74400000000000011</v>
          </cell>
          <cell r="V41" t="str">
            <v>ПР</v>
          </cell>
        </row>
        <row r="42">
          <cell r="D42">
            <v>50</v>
          </cell>
          <cell r="E42">
            <v>2.8</v>
          </cell>
          <cell r="F42">
            <v>0.55000000000000004</v>
          </cell>
          <cell r="G42">
            <v>24.7</v>
          </cell>
          <cell r="H42">
            <v>114.95</v>
          </cell>
          <cell r="I42">
            <v>0.05</v>
          </cell>
          <cell r="K42">
            <v>0</v>
          </cell>
          <cell r="L42">
            <v>0</v>
          </cell>
          <cell r="M42">
            <v>0.45</v>
          </cell>
          <cell r="N42">
            <v>11.5</v>
          </cell>
          <cell r="O42">
            <v>53</v>
          </cell>
          <cell r="P42">
            <v>12.5</v>
          </cell>
          <cell r="Q42">
            <v>1.55</v>
          </cell>
        </row>
        <row r="43">
          <cell r="A43" t="str">
            <v>ХЛЕБ РЖАНОЙ</v>
          </cell>
          <cell r="B43">
            <v>40</v>
          </cell>
          <cell r="D43">
            <v>40</v>
          </cell>
          <cell r="E43">
            <v>2.2400000000000002</v>
          </cell>
          <cell r="F43">
            <v>0.44</v>
          </cell>
          <cell r="G43">
            <v>19.760000000000002</v>
          </cell>
          <cell r="H43">
            <v>91.96</v>
          </cell>
          <cell r="I43">
            <v>0.04</v>
          </cell>
          <cell r="K43">
            <v>0</v>
          </cell>
          <cell r="L43">
            <v>0</v>
          </cell>
          <cell r="M43">
            <v>0.36</v>
          </cell>
          <cell r="N43">
            <v>9.1999999999999993</v>
          </cell>
          <cell r="O43">
            <v>42.4</v>
          </cell>
          <cell r="P43">
            <v>10</v>
          </cell>
          <cell r="Q43">
            <v>1.24</v>
          </cell>
          <cell r="V43" t="str">
            <v>ПР</v>
          </cell>
        </row>
        <row r="44">
          <cell r="D44">
            <v>50</v>
          </cell>
          <cell r="E44">
            <v>2.8</v>
          </cell>
          <cell r="F44">
            <v>0.55000000000000004</v>
          </cell>
          <cell r="G44">
            <v>24.7</v>
          </cell>
          <cell r="H44">
            <v>114.95</v>
          </cell>
          <cell r="I44">
            <v>0.05</v>
          </cell>
          <cell r="K44">
            <v>0</v>
          </cell>
          <cell r="L44">
            <v>0</v>
          </cell>
          <cell r="M44">
            <v>0.45</v>
          </cell>
          <cell r="N44">
            <v>11.5</v>
          </cell>
          <cell r="O44">
            <v>53</v>
          </cell>
          <cell r="P44">
            <v>12.5</v>
          </cell>
          <cell r="Q44">
            <v>1.55</v>
          </cell>
        </row>
        <row r="45">
          <cell r="A45" t="str">
            <v xml:space="preserve">ХЛЕБ ПШЕНИЧНЫЙ </v>
          </cell>
          <cell r="B45">
            <v>50</v>
          </cell>
          <cell r="D45">
            <v>50</v>
          </cell>
          <cell r="E45">
            <v>3.95</v>
          </cell>
          <cell r="F45">
            <v>0.5</v>
          </cell>
          <cell r="G45">
            <v>24.15</v>
          </cell>
          <cell r="H45">
            <v>116.9</v>
          </cell>
          <cell r="I45">
            <v>0.05</v>
          </cell>
          <cell r="K45">
            <v>0</v>
          </cell>
          <cell r="L45">
            <v>0</v>
          </cell>
          <cell r="M45">
            <v>0.65</v>
          </cell>
          <cell r="N45">
            <v>11.5</v>
          </cell>
          <cell r="O45">
            <v>43.5</v>
          </cell>
          <cell r="P45">
            <v>16.5</v>
          </cell>
          <cell r="Q45">
            <v>0.55000000000000004</v>
          </cell>
          <cell r="V45" t="str">
            <v>ПР</v>
          </cell>
        </row>
        <row r="46">
          <cell r="D46">
            <v>50</v>
          </cell>
          <cell r="E46">
            <v>3.95</v>
          </cell>
          <cell r="F46">
            <v>0.5</v>
          </cell>
          <cell r="G46">
            <v>24.15</v>
          </cell>
          <cell r="H46">
            <v>116.9</v>
          </cell>
          <cell r="I46">
            <v>0.05</v>
          </cell>
          <cell r="K46">
            <v>0</v>
          </cell>
          <cell r="L46">
            <v>0</v>
          </cell>
          <cell r="M46">
            <v>0.65</v>
          </cell>
          <cell r="N46">
            <v>11.5</v>
          </cell>
          <cell r="O46">
            <v>43.5</v>
          </cell>
          <cell r="P46">
            <v>16.5</v>
          </cell>
          <cell r="Q46">
            <v>0.55000000000000004</v>
          </cell>
        </row>
        <row r="47">
          <cell r="A47" t="str">
            <v>ИЗДЕЛИЕ КОНДИТЕРСКОЕ( шоколад)</v>
          </cell>
          <cell r="B47">
            <v>36</v>
          </cell>
          <cell r="D47">
            <v>36</v>
          </cell>
          <cell r="E47">
            <v>3.0599999999999996</v>
          </cell>
          <cell r="F47">
            <v>4.0679999999999996</v>
          </cell>
          <cell r="G47">
            <v>73</v>
          </cell>
          <cell r="H47">
            <v>79</v>
          </cell>
          <cell r="I47">
            <v>3.5999999999999997E-2</v>
          </cell>
          <cell r="J47">
            <v>0</v>
          </cell>
          <cell r="K47">
            <v>0</v>
          </cell>
          <cell r="L47">
            <v>23.4</v>
          </cell>
          <cell r="M47">
            <v>0.46799999999999997</v>
          </cell>
          <cell r="N47">
            <v>14.76</v>
          </cell>
          <cell r="O47">
            <v>31.32</v>
          </cell>
          <cell r="P47">
            <v>5.4</v>
          </cell>
          <cell r="Q47">
            <v>0.36</v>
          </cell>
          <cell r="R47">
            <v>0</v>
          </cell>
          <cell r="S47">
            <v>0</v>
          </cell>
          <cell r="T47">
            <v>0</v>
          </cell>
          <cell r="U47">
            <v>0</v>
          </cell>
          <cell r="V47" t="str">
            <v>ПР</v>
          </cell>
        </row>
        <row r="48">
          <cell r="D48">
            <v>20</v>
          </cell>
          <cell r="E48">
            <v>1.7</v>
          </cell>
          <cell r="F48">
            <v>2.2599999999999998</v>
          </cell>
          <cell r="G48">
            <v>13.94</v>
          </cell>
          <cell r="H48">
            <v>82.9</v>
          </cell>
          <cell r="I48">
            <v>0.02</v>
          </cell>
          <cell r="K48">
            <v>0</v>
          </cell>
          <cell r="L48">
            <v>13</v>
          </cell>
          <cell r="M48">
            <v>0.26</v>
          </cell>
          <cell r="N48">
            <v>8.1999999999999993</v>
          </cell>
          <cell r="O48">
            <v>17.399999999999999</v>
          </cell>
          <cell r="P48">
            <v>3</v>
          </cell>
          <cell r="Q48">
            <v>0.2</v>
          </cell>
        </row>
        <row r="49">
          <cell r="A49" t="str">
            <v>БУЛКА ЛАКОМКА</v>
          </cell>
          <cell r="B49">
            <v>100</v>
          </cell>
          <cell r="D49">
            <v>100</v>
          </cell>
          <cell r="E49">
            <v>3.49</v>
          </cell>
          <cell r="F49">
            <v>4.125</v>
          </cell>
          <cell r="G49">
            <v>64.45</v>
          </cell>
          <cell r="H49">
            <v>106.5</v>
          </cell>
          <cell r="I49">
            <v>3.5000000000000003E-2</v>
          </cell>
          <cell r="K49">
            <v>3.5000000000000003E-2</v>
          </cell>
          <cell r="L49">
            <v>9</v>
          </cell>
          <cell r="M49">
            <v>0</v>
          </cell>
          <cell r="N49">
            <v>9.3000000000000007</v>
          </cell>
          <cell r="O49">
            <v>26.05</v>
          </cell>
          <cell r="P49">
            <v>8.5500000000000007</v>
          </cell>
          <cell r="Q49">
            <v>0.45500000000000002</v>
          </cell>
          <cell r="V49">
            <v>179</v>
          </cell>
        </row>
        <row r="50">
          <cell r="D50">
            <v>200</v>
          </cell>
          <cell r="E50">
            <v>6.98</v>
          </cell>
          <cell r="F50">
            <v>8.25</v>
          </cell>
          <cell r="G50">
            <v>39.78</v>
          </cell>
          <cell r="H50">
            <v>213</v>
          </cell>
          <cell r="I50">
            <v>7.0000000000000007E-2</v>
          </cell>
          <cell r="K50">
            <v>7.0000000000000007E-2</v>
          </cell>
          <cell r="L50">
            <v>18</v>
          </cell>
          <cell r="N50">
            <v>18.600000000000001</v>
          </cell>
          <cell r="O50">
            <v>52.1</v>
          </cell>
          <cell r="P50">
            <v>17.100000000000001</v>
          </cell>
          <cell r="Q50">
            <v>0.91</v>
          </cell>
        </row>
        <row r="51">
          <cell r="A51" t="str">
            <v>КОРЖИК "ДЕТСКИЙ"</v>
          </cell>
          <cell r="B51">
            <v>50</v>
          </cell>
          <cell r="D51">
            <v>50</v>
          </cell>
          <cell r="E51">
            <v>3.33</v>
          </cell>
          <cell r="F51">
            <v>6.54</v>
          </cell>
          <cell r="G51">
            <v>14</v>
          </cell>
          <cell r="H51">
            <v>118.66666666666667</v>
          </cell>
          <cell r="I51">
            <v>5.3333333333333337E-2</v>
          </cell>
          <cell r="K51">
            <v>3.3333333333333333E-2</v>
          </cell>
          <cell r="L51">
            <v>5.333333333333333</v>
          </cell>
          <cell r="M51">
            <v>0</v>
          </cell>
          <cell r="N51">
            <v>12.8</v>
          </cell>
          <cell r="O51">
            <v>32.333333333333336</v>
          </cell>
          <cell r="P51">
            <v>11.866666666666667</v>
          </cell>
          <cell r="Q51">
            <v>0.56666666666666665</v>
          </cell>
          <cell r="V51" t="str">
            <v>РР</v>
          </cell>
        </row>
        <row r="52">
          <cell r="A52" t="str">
            <v>ЯЗЫК СЛОЕНЫЙ</v>
          </cell>
          <cell r="D52">
            <v>75</v>
          </cell>
          <cell r="E52">
            <v>8</v>
          </cell>
          <cell r="F52">
            <v>13</v>
          </cell>
          <cell r="G52">
            <v>21</v>
          </cell>
          <cell r="H52">
            <v>178</v>
          </cell>
          <cell r="I52">
            <v>0.08</v>
          </cell>
          <cell r="K52">
            <v>0.05</v>
          </cell>
          <cell r="L52">
            <v>8</v>
          </cell>
          <cell r="N52">
            <v>19.2</v>
          </cell>
          <cell r="O52">
            <v>48.5</v>
          </cell>
          <cell r="P52">
            <v>17.8</v>
          </cell>
          <cell r="Q52">
            <v>0.85</v>
          </cell>
        </row>
        <row r="53">
          <cell r="A53" t="str">
            <v xml:space="preserve">ИЗДЕЛИЕ КОНДИТЕРСКОЕ </v>
          </cell>
          <cell r="B53">
            <v>20</v>
          </cell>
          <cell r="D53">
            <v>20</v>
          </cell>
          <cell r="E53">
            <v>1.4333333333333333</v>
          </cell>
          <cell r="F53">
            <v>12.93</v>
          </cell>
          <cell r="G53">
            <v>18.36</v>
          </cell>
          <cell r="H53">
            <v>48.666666666666664</v>
          </cell>
          <cell r="I53">
            <v>2.6666666666666668E-2</v>
          </cell>
          <cell r="J53">
            <v>0</v>
          </cell>
          <cell r="K53">
            <v>5.6666666666666671E-2</v>
          </cell>
          <cell r="L53">
            <v>0.66666666666666663</v>
          </cell>
          <cell r="M53">
            <v>0</v>
          </cell>
          <cell r="N53">
            <v>4.6333333333333337</v>
          </cell>
          <cell r="O53">
            <v>15.666666666666666</v>
          </cell>
          <cell r="P53">
            <v>6.2333333333333334</v>
          </cell>
          <cell r="Q53">
            <v>0.29333333333333333</v>
          </cell>
          <cell r="R53">
            <v>0.73</v>
          </cell>
          <cell r="S53">
            <v>0</v>
          </cell>
          <cell r="T53">
            <v>0</v>
          </cell>
          <cell r="U53">
            <v>0</v>
          </cell>
          <cell r="V53" t="str">
            <v>РР</v>
          </cell>
        </row>
        <row r="54">
          <cell r="D54">
            <v>60</v>
          </cell>
          <cell r="E54">
            <v>4.3</v>
          </cell>
          <cell r="F54">
            <v>6.2</v>
          </cell>
          <cell r="G54">
            <v>33</v>
          </cell>
          <cell r="H54">
            <v>146</v>
          </cell>
          <cell r="I54">
            <v>0.08</v>
          </cell>
          <cell r="K54">
            <v>0.17</v>
          </cell>
          <cell r="L54">
            <v>2</v>
          </cell>
          <cell r="N54">
            <v>13.9</v>
          </cell>
          <cell r="O54">
            <v>47</v>
          </cell>
          <cell r="P54">
            <v>18.7</v>
          </cell>
          <cell r="Q54">
            <v>0.88</v>
          </cell>
        </row>
        <row r="55">
          <cell r="A55" t="str">
            <v xml:space="preserve">ХЛЕБ ПШЕНИЧНЫЙ </v>
          </cell>
          <cell r="B55">
            <v>40</v>
          </cell>
          <cell r="D55">
            <v>40</v>
          </cell>
          <cell r="E55">
            <v>3.16</v>
          </cell>
          <cell r="F55">
            <v>0.4</v>
          </cell>
          <cell r="G55">
            <v>19.32</v>
          </cell>
          <cell r="H55">
            <v>93.52</v>
          </cell>
          <cell r="I55">
            <v>0.04</v>
          </cell>
          <cell r="K55">
            <v>0</v>
          </cell>
          <cell r="L55">
            <v>0</v>
          </cell>
          <cell r="M55">
            <v>0.52</v>
          </cell>
          <cell r="N55">
            <v>9.1999999999999993</v>
          </cell>
          <cell r="O55">
            <v>34.799999999999997</v>
          </cell>
          <cell r="P55">
            <v>13.2</v>
          </cell>
          <cell r="Q55">
            <v>0.44</v>
          </cell>
          <cell r="V55" t="str">
            <v>ПР</v>
          </cell>
        </row>
        <row r="56">
          <cell r="D56">
            <v>50</v>
          </cell>
          <cell r="E56">
            <v>3.95</v>
          </cell>
          <cell r="F56">
            <v>0.5</v>
          </cell>
          <cell r="G56">
            <v>24.15</v>
          </cell>
          <cell r="H56">
            <v>116.9</v>
          </cell>
          <cell r="I56">
            <v>0.05</v>
          </cell>
          <cell r="K56">
            <v>0</v>
          </cell>
          <cell r="L56">
            <v>0</v>
          </cell>
          <cell r="M56">
            <v>0.65</v>
          </cell>
          <cell r="N56">
            <v>11.5</v>
          </cell>
          <cell r="O56">
            <v>43.5</v>
          </cell>
          <cell r="P56">
            <v>16.5</v>
          </cell>
          <cell r="Q56">
            <v>0.55000000000000004</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дней с 7 до 11 лет"/>
      <sheetName val="Лист2"/>
      <sheetName val="Лист1"/>
      <sheetName val="РП с 7 до 11 лет"/>
      <sheetName val="Лист1 с 7 до 11 лет"/>
      <sheetName val="нормы"/>
      <sheetName val="расчеты"/>
      <sheetName val="салаты"/>
      <sheetName val="ТК_салаты_1-33"/>
      <sheetName val="мясо"/>
      <sheetName val="ТК_мясо_34-57"/>
      <sheetName val="каши"/>
      <sheetName val="ТК_каши_58-73"/>
      <sheetName val="супы"/>
      <sheetName val="ТК_супы_74-85"/>
      <sheetName val="выпечка"/>
      <sheetName val="ТК_выпечка_86-100"/>
      <sheetName val="напитки"/>
      <sheetName val="ТК_напитки_101-114"/>
      <sheetName val="ТК_соусы"/>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refreshError="1"/>
      <sheetData sheetId="16"/>
      <sheetData sheetId="17" refreshError="1">
        <row r="1">
          <cell r="A1" t="str">
            <v>Перечень технологических карт для учащихся общеобразовательных учреждений</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row>
        <row r="2">
          <cell r="A2" t="str">
            <v>Наименование блюда</v>
          </cell>
          <cell r="B2" t="str">
            <v>ВЫХОД</v>
          </cell>
          <cell r="C2">
            <v>0</v>
          </cell>
          <cell r="D2" t="str">
            <v>Выход, г</v>
          </cell>
          <cell r="E2" t="str">
            <v>Пищевые вещества</v>
          </cell>
          <cell r="F2">
            <v>0</v>
          </cell>
          <cell r="G2">
            <v>0</v>
          </cell>
          <cell r="H2">
            <v>0</v>
          </cell>
          <cell r="I2" t="str">
            <v>Витамины, мг</v>
          </cell>
          <cell r="J2">
            <v>0</v>
          </cell>
          <cell r="K2">
            <v>0</v>
          </cell>
          <cell r="L2">
            <v>0</v>
          </cell>
          <cell r="M2" t="str">
            <v>Минер. вещества, мг</v>
          </cell>
          <cell r="N2">
            <v>0</v>
          </cell>
          <cell r="O2">
            <v>0</v>
          </cell>
          <cell r="P2">
            <v>0</v>
          </cell>
          <cell r="Q2" t="str">
            <v>СБОРНИК</v>
          </cell>
          <cell r="R2">
            <v>0</v>
          </cell>
        </row>
        <row r="3">
          <cell r="A3">
            <v>0</v>
          </cell>
          <cell r="B3" t="str">
            <v>выход меняемый</v>
          </cell>
          <cell r="C3" t="str">
            <v>выход регламент, гр</v>
          </cell>
          <cell r="D3">
            <v>0</v>
          </cell>
          <cell r="E3" t="str">
            <v>Белки, г</v>
          </cell>
          <cell r="F3" t="str">
            <v>Жиры, г</v>
          </cell>
          <cell r="G3" t="str">
            <v>Углеводы, г</v>
          </cell>
          <cell r="H3" t="str">
            <v>Энерг. ценность, ккал</v>
          </cell>
          <cell r="I3" t="str">
            <v>В1</v>
          </cell>
          <cell r="J3" t="str">
            <v>С</v>
          </cell>
          <cell r="K3" t="str">
            <v>А</v>
          </cell>
          <cell r="L3" t="str">
            <v>D</v>
          </cell>
          <cell r="M3" t="str">
            <v>Са</v>
          </cell>
          <cell r="N3" t="str">
            <v>Р</v>
          </cell>
          <cell r="O3" t="str">
            <v>Mg</v>
          </cell>
          <cell r="P3" t="str">
            <v>Fe</v>
          </cell>
          <cell r="Q3" t="str">
            <v>№ сборника</v>
          </cell>
          <cell r="R3" t="str">
            <v>год сборника</v>
          </cell>
        </row>
        <row r="4">
          <cell r="A4" t="str">
            <v>НАПИТКИ</v>
          </cell>
          <cell r="B4" t="str">
            <v xml:space="preserve"> -</v>
          </cell>
          <cell r="C4" t="str">
            <v xml:space="preserve"> -</v>
          </cell>
          <cell r="D4" t="str">
            <v xml:space="preserve"> -</v>
          </cell>
          <cell r="E4" t="str">
            <v xml:space="preserve"> -</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row>
        <row r="5">
          <cell r="A5" t="str">
            <v>КОМПОТ ИЗ СВЕЖИХ ПЛОДОВ (ЯБЛОКИ)</v>
          </cell>
          <cell r="B5">
            <v>200</v>
          </cell>
          <cell r="C5">
            <v>200</v>
          </cell>
          <cell r="D5">
            <v>200</v>
          </cell>
          <cell r="E5">
            <v>0.16</v>
          </cell>
          <cell r="F5">
            <v>0.16</v>
          </cell>
          <cell r="G5">
            <v>27.88</v>
          </cell>
          <cell r="H5">
            <v>114.6</v>
          </cell>
          <cell r="I5">
            <v>1.2E-2</v>
          </cell>
          <cell r="J5">
            <v>0.9</v>
          </cell>
          <cell r="K5">
            <v>0</v>
          </cell>
          <cell r="L5">
            <v>0</v>
          </cell>
          <cell r="M5">
            <v>14.180000000000001</v>
          </cell>
          <cell r="N5">
            <v>4.4000000000000004</v>
          </cell>
          <cell r="O5">
            <v>5.14</v>
          </cell>
          <cell r="P5">
            <v>0.95199999999999996</v>
          </cell>
          <cell r="Q5">
            <v>342</v>
          </cell>
          <cell r="R5">
            <v>2011</v>
          </cell>
        </row>
        <row r="6">
          <cell r="A6" t="str">
            <v>КОМПОТ ИЗ КУРАГИ</v>
          </cell>
          <cell r="B6">
            <v>0</v>
          </cell>
          <cell r="C6">
            <v>0</v>
          </cell>
          <cell r="D6">
            <v>1000</v>
          </cell>
          <cell r="E6">
            <v>0.8</v>
          </cell>
          <cell r="F6">
            <v>0.8</v>
          </cell>
          <cell r="G6">
            <v>139.4</v>
          </cell>
          <cell r="H6">
            <v>573</v>
          </cell>
          <cell r="I6">
            <v>0.06</v>
          </cell>
          <cell r="J6">
            <v>4.5</v>
          </cell>
          <cell r="K6">
            <v>0</v>
          </cell>
          <cell r="L6">
            <v>0</v>
          </cell>
          <cell r="M6">
            <v>70.900000000000006</v>
          </cell>
          <cell r="N6">
            <v>22</v>
          </cell>
          <cell r="O6">
            <v>25.7</v>
          </cell>
          <cell r="P6">
            <v>4.76</v>
          </cell>
          <cell r="Q6">
            <v>0</v>
          </cell>
          <cell r="R6">
            <v>0</v>
          </cell>
        </row>
        <row r="7">
          <cell r="A7" t="str">
            <v>КОМПОТ ИЗ ИЗЮМА</v>
          </cell>
          <cell r="B7">
            <v>200</v>
          </cell>
          <cell r="C7">
            <v>200</v>
          </cell>
          <cell r="D7">
            <v>200</v>
          </cell>
          <cell r="E7">
            <v>0.34599999999999997</v>
          </cell>
          <cell r="F7">
            <v>7.5999999999999998E-2</v>
          </cell>
          <cell r="G7">
            <v>29.85</v>
          </cell>
          <cell r="H7">
            <v>122.2</v>
          </cell>
          <cell r="I7">
            <v>2.1999999999999999E-2</v>
          </cell>
          <cell r="J7">
            <v>0</v>
          </cell>
          <cell r="K7">
            <v>0</v>
          </cell>
          <cell r="L7">
            <v>0</v>
          </cell>
          <cell r="M7">
            <v>20.32</v>
          </cell>
          <cell r="N7">
            <v>19.36</v>
          </cell>
          <cell r="O7">
            <v>8.1199999999999992</v>
          </cell>
          <cell r="P7">
            <v>0.45</v>
          </cell>
          <cell r="Q7">
            <v>348</v>
          </cell>
          <cell r="R7">
            <v>2011</v>
          </cell>
        </row>
        <row r="8">
          <cell r="A8" t="str">
            <v>КОМПОТ ИЗ СМОРОДИНЫ</v>
          </cell>
          <cell r="B8">
            <v>0</v>
          </cell>
          <cell r="C8">
            <v>0</v>
          </cell>
          <cell r="D8">
            <v>1000</v>
          </cell>
          <cell r="E8">
            <v>1.73</v>
          </cell>
          <cell r="F8">
            <v>0.38</v>
          </cell>
          <cell r="G8">
            <v>149.25</v>
          </cell>
          <cell r="H8">
            <v>611</v>
          </cell>
          <cell r="I8">
            <v>0.11</v>
          </cell>
          <cell r="J8">
            <v>0</v>
          </cell>
          <cell r="K8">
            <v>0</v>
          </cell>
          <cell r="L8">
            <v>0</v>
          </cell>
          <cell r="M8">
            <v>101.6</v>
          </cell>
          <cell r="N8">
            <v>96.8</v>
          </cell>
          <cell r="O8">
            <v>40.6</v>
          </cell>
          <cell r="P8">
            <v>2.25</v>
          </cell>
          <cell r="Q8">
            <v>0</v>
          </cell>
          <cell r="R8">
            <v>0</v>
          </cell>
        </row>
        <row r="9">
          <cell r="A9" t="str">
            <v>КОМПОТ ИЗ СМЕСИ СУХОФРУКТОВ</v>
          </cell>
          <cell r="B9">
            <v>200</v>
          </cell>
          <cell r="C9">
            <v>200</v>
          </cell>
          <cell r="D9">
            <v>200</v>
          </cell>
          <cell r="E9">
            <v>0.66200000000000003</v>
          </cell>
          <cell r="F9">
            <v>0.09</v>
          </cell>
          <cell r="G9">
            <v>32.014000000000003</v>
          </cell>
          <cell r="H9">
            <v>132.80000000000001</v>
          </cell>
          <cell r="I9">
            <v>1.6E-2</v>
          </cell>
          <cell r="J9">
            <v>0.72599999999999998</v>
          </cell>
          <cell r="K9">
            <v>0</v>
          </cell>
          <cell r="L9">
            <v>0</v>
          </cell>
          <cell r="M9">
            <v>32.479999999999997</v>
          </cell>
          <cell r="N9">
            <v>23.44</v>
          </cell>
          <cell r="O9">
            <v>17.46</v>
          </cell>
          <cell r="P9">
            <v>0.69799999999999995</v>
          </cell>
          <cell r="Q9">
            <v>349</v>
          </cell>
          <cell r="R9">
            <v>2011</v>
          </cell>
        </row>
        <row r="10">
          <cell r="A10" t="str">
            <v>КОМПОТ ИЗ ЧЕРНОСЛИВА</v>
          </cell>
          <cell r="B10">
            <v>0</v>
          </cell>
          <cell r="C10">
            <v>0</v>
          </cell>
          <cell r="D10">
            <v>1000</v>
          </cell>
          <cell r="E10">
            <v>3.31</v>
          </cell>
          <cell r="F10">
            <v>0.45</v>
          </cell>
          <cell r="G10">
            <v>160.07</v>
          </cell>
          <cell r="H10">
            <v>664</v>
          </cell>
          <cell r="I10">
            <v>0.08</v>
          </cell>
          <cell r="J10">
            <v>3.63</v>
          </cell>
          <cell r="K10">
            <v>0</v>
          </cell>
          <cell r="L10">
            <v>0</v>
          </cell>
          <cell r="M10">
            <v>162.4</v>
          </cell>
          <cell r="N10">
            <v>117.2</v>
          </cell>
          <cell r="O10">
            <v>87.3</v>
          </cell>
          <cell r="P10">
            <v>3.49</v>
          </cell>
          <cell r="Q10">
            <v>0</v>
          </cell>
          <cell r="R10">
            <v>0</v>
          </cell>
        </row>
        <row r="11">
          <cell r="A11" t="str">
            <v>КОМПОТ ИЗ ПЛОДОВ ИЛИ ЯГОД СВЕЖИХ</v>
          </cell>
          <cell r="B11">
            <v>200</v>
          </cell>
          <cell r="C11">
            <v>200</v>
          </cell>
          <cell r="D11">
            <v>200</v>
          </cell>
          <cell r="E11">
            <v>0.14799999999999999</v>
          </cell>
          <cell r="F11">
            <v>0.08</v>
          </cell>
          <cell r="G11">
            <v>24.492000000000001</v>
          </cell>
          <cell r="H11">
            <v>114.6</v>
          </cell>
          <cell r="I11">
            <v>6.0000000000000001E-3</v>
          </cell>
          <cell r="J11">
            <v>24</v>
          </cell>
          <cell r="K11">
            <v>0</v>
          </cell>
          <cell r="L11">
            <v>0</v>
          </cell>
          <cell r="M11">
            <v>14</v>
          </cell>
          <cell r="N11">
            <v>8.94</v>
          </cell>
          <cell r="O11">
            <v>5.58</v>
          </cell>
          <cell r="P11">
            <v>0.13800000000000001</v>
          </cell>
          <cell r="Q11">
            <v>350</v>
          </cell>
          <cell r="R11">
            <v>2011</v>
          </cell>
        </row>
        <row r="12">
          <cell r="A12" t="str">
            <v>КОМПОТ ИЗ  КЛУБНИКИ</v>
          </cell>
          <cell r="B12">
            <v>0</v>
          </cell>
          <cell r="C12">
            <v>0</v>
          </cell>
          <cell r="D12">
            <v>1000</v>
          </cell>
          <cell r="E12">
            <v>0.74</v>
          </cell>
          <cell r="F12">
            <v>0.4</v>
          </cell>
          <cell r="G12">
            <v>122.46</v>
          </cell>
          <cell r="H12">
            <v>573</v>
          </cell>
          <cell r="I12">
            <v>0.03</v>
          </cell>
          <cell r="J12">
            <v>120</v>
          </cell>
          <cell r="K12">
            <v>0</v>
          </cell>
          <cell r="L12">
            <v>0</v>
          </cell>
          <cell r="M12">
            <v>70</v>
          </cell>
          <cell r="N12">
            <v>44.7</v>
          </cell>
          <cell r="O12">
            <v>27.9</v>
          </cell>
          <cell r="P12">
            <v>0.69</v>
          </cell>
          <cell r="Q12">
            <v>0</v>
          </cell>
          <cell r="R12">
            <v>0</v>
          </cell>
        </row>
        <row r="13">
          <cell r="A13" t="str">
            <v>ЧАЙ С САХАРОМ</v>
          </cell>
          <cell r="B13">
            <v>200</v>
          </cell>
          <cell r="C13" t="str">
            <v>200/15</v>
          </cell>
          <cell r="D13">
            <v>200</v>
          </cell>
          <cell r="E13">
            <v>7.0000000000000007E-2</v>
          </cell>
          <cell r="F13">
            <v>0.02</v>
          </cell>
          <cell r="G13">
            <v>15</v>
          </cell>
          <cell r="H13">
            <v>60</v>
          </cell>
          <cell r="I13">
            <v>0</v>
          </cell>
          <cell r="J13">
            <v>0.03</v>
          </cell>
          <cell r="K13">
            <v>0</v>
          </cell>
          <cell r="L13">
            <v>0</v>
          </cell>
          <cell r="M13">
            <v>11.1</v>
          </cell>
          <cell r="N13">
            <v>2.8</v>
          </cell>
          <cell r="O13">
            <v>1.4</v>
          </cell>
          <cell r="P13">
            <v>0.28000000000000003</v>
          </cell>
          <cell r="Q13">
            <v>376</v>
          </cell>
          <cell r="R13">
            <v>2011</v>
          </cell>
        </row>
        <row r="14">
          <cell r="A14">
            <v>0</v>
          </cell>
          <cell r="B14">
            <v>0</v>
          </cell>
          <cell r="C14">
            <v>0</v>
          </cell>
          <cell r="D14">
            <v>200</v>
          </cell>
          <cell r="E14">
            <v>7.0000000000000007E-2</v>
          </cell>
          <cell r="F14">
            <v>0.02</v>
          </cell>
          <cell r="G14">
            <v>15</v>
          </cell>
          <cell r="H14">
            <v>60</v>
          </cell>
          <cell r="I14">
            <v>0</v>
          </cell>
          <cell r="J14">
            <v>0.03</v>
          </cell>
          <cell r="K14">
            <v>0</v>
          </cell>
          <cell r="L14">
            <v>0</v>
          </cell>
          <cell r="M14">
            <v>11.1</v>
          </cell>
          <cell r="N14">
            <v>2.8</v>
          </cell>
          <cell r="O14">
            <v>1.4</v>
          </cell>
          <cell r="P14">
            <v>0.28000000000000003</v>
          </cell>
          <cell r="Q14">
            <v>0</v>
          </cell>
          <cell r="R14">
            <v>0</v>
          </cell>
        </row>
        <row r="15">
          <cell r="A15" t="str">
            <v>ЧАЙ С САХАРОМ И ЛИМОНОМ</v>
          </cell>
          <cell r="B15">
            <v>200</v>
          </cell>
          <cell r="C15" t="str">
            <v>200/15/7</v>
          </cell>
          <cell r="D15">
            <v>200</v>
          </cell>
          <cell r="E15">
            <v>0.13</v>
          </cell>
          <cell r="F15">
            <v>0.02</v>
          </cell>
          <cell r="G15">
            <v>15.2</v>
          </cell>
          <cell r="H15">
            <v>62</v>
          </cell>
          <cell r="I15">
            <v>0</v>
          </cell>
          <cell r="J15">
            <v>2.83</v>
          </cell>
          <cell r="K15">
            <v>0</v>
          </cell>
          <cell r="L15">
            <v>0</v>
          </cell>
          <cell r="M15">
            <v>14.2</v>
          </cell>
          <cell r="N15">
            <v>4.4000000000000004</v>
          </cell>
          <cell r="O15">
            <v>2.4</v>
          </cell>
          <cell r="P15">
            <v>0.36</v>
          </cell>
          <cell r="Q15">
            <v>377</v>
          </cell>
          <cell r="R15">
            <v>2011</v>
          </cell>
        </row>
        <row r="16">
          <cell r="A16">
            <v>0</v>
          </cell>
          <cell r="B16">
            <v>0</v>
          </cell>
          <cell r="C16">
            <v>0</v>
          </cell>
          <cell r="D16">
            <v>200</v>
          </cell>
          <cell r="E16">
            <v>0.13</v>
          </cell>
          <cell r="F16">
            <v>0.02</v>
          </cell>
          <cell r="G16">
            <v>15.2</v>
          </cell>
          <cell r="H16">
            <v>62</v>
          </cell>
          <cell r="I16">
            <v>0</v>
          </cell>
          <cell r="J16">
            <v>2.83</v>
          </cell>
          <cell r="K16">
            <v>0</v>
          </cell>
          <cell r="L16">
            <v>0</v>
          </cell>
          <cell r="M16">
            <v>14.2</v>
          </cell>
          <cell r="N16">
            <v>4.4000000000000004</v>
          </cell>
          <cell r="O16">
            <v>2.4</v>
          </cell>
          <cell r="P16">
            <v>0.36</v>
          </cell>
          <cell r="Q16">
            <v>0</v>
          </cell>
          <cell r="R16">
            <v>0</v>
          </cell>
        </row>
        <row r="17">
          <cell r="A17" t="str">
            <v>ЧАЙ С МОЛОКОМ</v>
          </cell>
          <cell r="B17">
            <v>200</v>
          </cell>
          <cell r="C17" t="str">
            <v>150/50/15</v>
          </cell>
          <cell r="D17">
            <v>200</v>
          </cell>
          <cell r="E17">
            <v>1.52</v>
          </cell>
          <cell r="F17">
            <v>1.35</v>
          </cell>
          <cell r="G17">
            <v>15.9</v>
          </cell>
          <cell r="H17">
            <v>81</v>
          </cell>
          <cell r="I17">
            <v>0.04</v>
          </cell>
          <cell r="J17">
            <v>1.33</v>
          </cell>
          <cell r="K17">
            <v>10</v>
          </cell>
          <cell r="L17">
            <v>0</v>
          </cell>
          <cell r="M17">
            <v>126.6</v>
          </cell>
          <cell r="N17">
            <v>92.8</v>
          </cell>
          <cell r="O17">
            <v>15.4</v>
          </cell>
          <cell r="P17">
            <v>0.41</v>
          </cell>
          <cell r="Q17">
            <v>378</v>
          </cell>
          <cell r="R17">
            <v>2011</v>
          </cell>
        </row>
        <row r="18">
          <cell r="A18">
            <v>0</v>
          </cell>
          <cell r="B18">
            <v>0</v>
          </cell>
          <cell r="C18">
            <v>0</v>
          </cell>
          <cell r="D18">
            <v>200</v>
          </cell>
          <cell r="E18">
            <v>1.52</v>
          </cell>
          <cell r="F18">
            <v>1.35</v>
          </cell>
          <cell r="G18">
            <v>15.9</v>
          </cell>
          <cell r="H18">
            <v>81</v>
          </cell>
          <cell r="I18">
            <v>0.04</v>
          </cell>
          <cell r="J18">
            <v>1.33</v>
          </cell>
          <cell r="K18">
            <v>10</v>
          </cell>
          <cell r="L18">
            <v>0</v>
          </cell>
          <cell r="M18">
            <v>126.6</v>
          </cell>
          <cell r="N18">
            <v>92.8</v>
          </cell>
          <cell r="O18">
            <v>15.4</v>
          </cell>
          <cell r="P18">
            <v>0.41</v>
          </cell>
          <cell r="Q18">
            <v>0</v>
          </cell>
          <cell r="R18">
            <v>0</v>
          </cell>
        </row>
        <row r="19">
          <cell r="A19" t="str">
            <v xml:space="preserve">КОФЕЙНЫЙ НАПИТОК С МОЛОКОМ </v>
          </cell>
          <cell r="B19">
            <v>200</v>
          </cell>
          <cell r="C19">
            <v>200</v>
          </cell>
          <cell r="D19">
            <v>200</v>
          </cell>
          <cell r="E19">
            <v>3.1659999999999999</v>
          </cell>
          <cell r="F19">
            <v>2.6779999999999999</v>
          </cell>
          <cell r="G19">
            <v>15.946</v>
          </cell>
          <cell r="H19">
            <v>100.6</v>
          </cell>
          <cell r="I19">
            <v>4.3999999999999997E-2</v>
          </cell>
          <cell r="J19">
            <v>1.3</v>
          </cell>
          <cell r="K19">
            <v>20</v>
          </cell>
          <cell r="L19">
            <v>0</v>
          </cell>
          <cell r="M19">
            <v>125.78</v>
          </cell>
          <cell r="N19">
            <v>90</v>
          </cell>
          <cell r="O19">
            <v>14</v>
          </cell>
          <cell r="P19">
            <v>0.13400000000000001</v>
          </cell>
          <cell r="Q19">
            <v>379</v>
          </cell>
          <cell r="R19">
            <v>2011</v>
          </cell>
        </row>
        <row r="20">
          <cell r="A20">
            <v>0</v>
          </cell>
          <cell r="B20">
            <v>0</v>
          </cell>
          <cell r="C20">
            <v>0</v>
          </cell>
          <cell r="D20">
            <v>1000</v>
          </cell>
          <cell r="E20">
            <v>15.83</v>
          </cell>
          <cell r="F20">
            <v>13.39</v>
          </cell>
          <cell r="G20">
            <v>79.73</v>
          </cell>
          <cell r="H20">
            <v>503</v>
          </cell>
          <cell r="I20">
            <v>0.22</v>
          </cell>
          <cell r="J20">
            <v>6.5</v>
          </cell>
          <cell r="K20">
            <v>100</v>
          </cell>
          <cell r="L20">
            <v>0</v>
          </cell>
          <cell r="M20">
            <v>628.9</v>
          </cell>
          <cell r="N20">
            <v>450</v>
          </cell>
          <cell r="O20">
            <v>70</v>
          </cell>
          <cell r="P20">
            <v>0.67</v>
          </cell>
          <cell r="Q20">
            <v>0</v>
          </cell>
          <cell r="R20">
            <v>0</v>
          </cell>
        </row>
        <row r="21">
          <cell r="A21" t="str">
            <v>КОФЕЙНЫЙ НАПИТОК С МОЛОКОМ СГУЩЕНЫМ</v>
          </cell>
          <cell r="B21">
            <v>200</v>
          </cell>
          <cell r="C21">
            <v>200</v>
          </cell>
          <cell r="D21">
            <v>200</v>
          </cell>
          <cell r="E21">
            <v>2.944</v>
          </cell>
          <cell r="F21">
            <v>1.988</v>
          </cell>
          <cell r="G21">
            <v>20.922000000000001</v>
          </cell>
          <cell r="H21">
            <v>113.4</v>
          </cell>
          <cell r="I21">
            <v>2.1999999999999999E-2</v>
          </cell>
          <cell r="J21">
            <v>0.38</v>
          </cell>
          <cell r="K21">
            <v>10</v>
          </cell>
          <cell r="L21">
            <v>0</v>
          </cell>
          <cell r="M21">
            <v>128.78</v>
          </cell>
          <cell r="N21">
            <v>86.56</v>
          </cell>
          <cell r="O21">
            <v>12.880000000000003</v>
          </cell>
          <cell r="P21">
            <v>7.8E-2</v>
          </cell>
          <cell r="Q21">
            <v>380</v>
          </cell>
          <cell r="R21">
            <v>2011</v>
          </cell>
        </row>
        <row r="22">
          <cell r="A22">
            <v>0</v>
          </cell>
          <cell r="B22">
            <v>0</v>
          </cell>
          <cell r="C22">
            <v>0</v>
          </cell>
          <cell r="D22">
            <v>1000</v>
          </cell>
          <cell r="E22">
            <v>14.72</v>
          </cell>
          <cell r="F22">
            <v>9.94</v>
          </cell>
          <cell r="G22">
            <v>104.61</v>
          </cell>
          <cell r="H22">
            <v>567</v>
          </cell>
          <cell r="I22">
            <v>0.11</v>
          </cell>
          <cell r="J22">
            <v>1.9</v>
          </cell>
          <cell r="K22">
            <v>50</v>
          </cell>
          <cell r="L22">
            <v>0</v>
          </cell>
          <cell r="M22">
            <v>643.9</v>
          </cell>
          <cell r="N22">
            <v>432.8</v>
          </cell>
          <cell r="O22">
            <v>64.400000000000006</v>
          </cell>
          <cell r="P22">
            <v>0.39</v>
          </cell>
          <cell r="Q22">
            <v>0</v>
          </cell>
          <cell r="R22">
            <v>0</v>
          </cell>
        </row>
        <row r="23">
          <cell r="A23" t="str">
            <v>КАКАО C МОЛОКОМ</v>
          </cell>
          <cell r="B23">
            <v>200</v>
          </cell>
          <cell r="C23">
            <v>200</v>
          </cell>
          <cell r="D23">
            <v>200</v>
          </cell>
          <cell r="E23">
            <v>4.0780000000000003</v>
          </cell>
          <cell r="F23">
            <v>3.544</v>
          </cell>
          <cell r="G23">
            <v>17.577999999999999</v>
          </cell>
          <cell r="H23">
            <v>118.6</v>
          </cell>
          <cell r="I23">
            <v>5.6000000000000008E-2</v>
          </cell>
          <cell r="J23">
            <v>1.5880000000000001</v>
          </cell>
          <cell r="K23">
            <v>24.4</v>
          </cell>
          <cell r="L23">
            <v>0</v>
          </cell>
          <cell r="M23">
            <v>152.22</v>
          </cell>
          <cell r="N23">
            <v>124.55999999999999</v>
          </cell>
          <cell r="O23">
            <v>21.34</v>
          </cell>
          <cell r="P23">
            <v>0.47799999999999998</v>
          </cell>
          <cell r="Q23">
            <v>382</v>
          </cell>
          <cell r="R23">
            <v>2011</v>
          </cell>
        </row>
        <row r="24">
          <cell r="A24">
            <v>0</v>
          </cell>
          <cell r="B24">
            <v>0</v>
          </cell>
          <cell r="C24">
            <v>0</v>
          </cell>
          <cell r="D24">
            <v>1000</v>
          </cell>
          <cell r="E24">
            <v>20.39</v>
          </cell>
          <cell r="F24">
            <v>17.72</v>
          </cell>
          <cell r="G24">
            <v>87.89</v>
          </cell>
          <cell r="H24">
            <v>593</v>
          </cell>
          <cell r="I24">
            <v>0.28000000000000003</v>
          </cell>
          <cell r="J24">
            <v>7.94</v>
          </cell>
          <cell r="K24">
            <v>122</v>
          </cell>
          <cell r="L24">
            <v>0</v>
          </cell>
          <cell r="M24">
            <v>761.1</v>
          </cell>
          <cell r="N24">
            <v>622.79999999999995</v>
          </cell>
          <cell r="O24">
            <v>106.7</v>
          </cell>
          <cell r="P24">
            <v>2.39</v>
          </cell>
          <cell r="Q24">
            <v>0</v>
          </cell>
          <cell r="R24">
            <v>0</v>
          </cell>
        </row>
        <row r="25">
          <cell r="A25" t="str">
            <v>КАКАО C МОЛОКОМ СГУЩЕНЫМ</v>
          </cell>
          <cell r="B25">
            <v>200</v>
          </cell>
          <cell r="C25">
            <v>200</v>
          </cell>
          <cell r="D25">
            <v>200</v>
          </cell>
          <cell r="E25">
            <v>4.1879999999999997</v>
          </cell>
          <cell r="F25">
            <v>4.3339999999999996</v>
          </cell>
          <cell r="G25">
            <v>25.446000000000002</v>
          </cell>
          <cell r="H25">
            <v>157.6</v>
          </cell>
          <cell r="I25">
            <v>3.2000000000000001E-2</v>
          </cell>
          <cell r="J25">
            <v>0.55200000000000005</v>
          </cell>
          <cell r="K25">
            <v>1.4000000000000002E-2</v>
          </cell>
          <cell r="L25">
            <v>0</v>
          </cell>
          <cell r="M25">
            <v>119.36400000000002</v>
          </cell>
          <cell r="N25">
            <v>124.68</v>
          </cell>
          <cell r="O25">
            <v>22.096</v>
          </cell>
          <cell r="P25">
            <v>0.62</v>
          </cell>
          <cell r="Q25">
            <v>383</v>
          </cell>
          <cell r="R25">
            <v>2011</v>
          </cell>
        </row>
        <row r="26">
          <cell r="A26" t="str">
            <v xml:space="preserve">КИСЕЛЬ  ЯГОДНЫЙ </v>
          </cell>
          <cell r="B26">
            <v>0</v>
          </cell>
          <cell r="C26">
            <v>0</v>
          </cell>
          <cell r="D26">
            <v>1000</v>
          </cell>
          <cell r="E26">
            <v>20.94</v>
          </cell>
          <cell r="F26">
            <v>21.67</v>
          </cell>
          <cell r="G26">
            <v>127.23</v>
          </cell>
          <cell r="H26">
            <v>788</v>
          </cell>
          <cell r="I26">
            <v>0.16</v>
          </cell>
          <cell r="J26">
            <v>2.76</v>
          </cell>
          <cell r="K26">
            <v>7.0000000000000007E-2</v>
          </cell>
          <cell r="L26">
            <v>0</v>
          </cell>
          <cell r="M26">
            <v>596.82000000000005</v>
          </cell>
          <cell r="N26">
            <v>623.4</v>
          </cell>
          <cell r="O26">
            <v>110.48</v>
          </cell>
          <cell r="P26">
            <v>3.1</v>
          </cell>
          <cell r="Q26">
            <v>0</v>
          </cell>
          <cell r="R26">
            <v>0</v>
          </cell>
        </row>
        <row r="27">
          <cell r="A27" t="str">
            <v xml:space="preserve">МОЛОКО </v>
          </cell>
          <cell r="B27">
            <v>200</v>
          </cell>
          <cell r="C27">
            <v>200</v>
          </cell>
          <cell r="D27">
            <v>200</v>
          </cell>
          <cell r="E27">
            <v>5.8</v>
          </cell>
          <cell r="F27">
            <v>5</v>
          </cell>
          <cell r="G27">
            <v>9.6</v>
          </cell>
          <cell r="H27">
            <v>107</v>
          </cell>
          <cell r="I27">
            <v>0.08</v>
          </cell>
          <cell r="J27">
            <v>2.6</v>
          </cell>
          <cell r="K27">
            <v>40</v>
          </cell>
          <cell r="L27">
            <v>0</v>
          </cell>
          <cell r="M27">
            <v>240</v>
          </cell>
          <cell r="N27">
            <v>180</v>
          </cell>
          <cell r="O27">
            <v>28</v>
          </cell>
          <cell r="P27">
            <v>0.2</v>
          </cell>
          <cell r="Q27" t="str">
            <v>ПР</v>
          </cell>
          <cell r="R27">
            <v>2011</v>
          </cell>
        </row>
        <row r="28">
          <cell r="A28">
            <v>0</v>
          </cell>
          <cell r="B28">
            <v>0</v>
          </cell>
          <cell r="C28">
            <v>0</v>
          </cell>
          <cell r="D28">
            <v>200</v>
          </cell>
          <cell r="E28">
            <v>5.8</v>
          </cell>
          <cell r="F28">
            <v>5</v>
          </cell>
          <cell r="G28">
            <v>9.6</v>
          </cell>
          <cell r="H28">
            <v>107</v>
          </cell>
          <cell r="I28">
            <v>0.08</v>
          </cell>
          <cell r="J28">
            <v>2.6</v>
          </cell>
          <cell r="K28">
            <v>40</v>
          </cell>
          <cell r="L28">
            <v>0</v>
          </cell>
          <cell r="M28">
            <v>240</v>
          </cell>
          <cell r="N28">
            <v>180</v>
          </cell>
          <cell r="O28">
            <v>28</v>
          </cell>
          <cell r="P28">
            <v>0.2</v>
          </cell>
          <cell r="Q28">
            <v>0</v>
          </cell>
          <cell r="R28">
            <v>0</v>
          </cell>
        </row>
        <row r="29">
          <cell r="A29" t="str">
            <v>КЕФИР, АЦИДОФИЛИН, ПРОСТОКВАША, РЯЖЕНКА, АЙРАН</v>
          </cell>
          <cell r="B29">
            <v>200</v>
          </cell>
          <cell r="C29">
            <v>200</v>
          </cell>
          <cell r="D29">
            <v>200</v>
          </cell>
          <cell r="E29">
            <v>5.8</v>
          </cell>
          <cell r="F29">
            <v>5</v>
          </cell>
          <cell r="G29">
            <v>8</v>
          </cell>
          <cell r="H29">
            <v>100</v>
          </cell>
          <cell r="I29">
            <v>0.08</v>
          </cell>
          <cell r="J29">
            <v>40</v>
          </cell>
          <cell r="K29">
            <v>40</v>
          </cell>
          <cell r="L29">
            <v>0</v>
          </cell>
          <cell r="M29">
            <v>240</v>
          </cell>
          <cell r="N29">
            <v>180</v>
          </cell>
          <cell r="O29">
            <v>28</v>
          </cell>
          <cell r="P29">
            <v>0.2</v>
          </cell>
          <cell r="Q29">
            <v>386</v>
          </cell>
          <cell r="R29">
            <v>2011</v>
          </cell>
        </row>
        <row r="30">
          <cell r="A30">
            <v>0</v>
          </cell>
          <cell r="B30">
            <v>0</v>
          </cell>
          <cell r="C30">
            <v>0</v>
          </cell>
          <cell r="D30">
            <v>200</v>
          </cell>
          <cell r="E30">
            <v>5.8</v>
          </cell>
          <cell r="F30">
            <v>5</v>
          </cell>
          <cell r="G30">
            <v>8</v>
          </cell>
          <cell r="H30">
            <v>100</v>
          </cell>
          <cell r="I30">
            <v>0.08</v>
          </cell>
          <cell r="J30">
            <v>40</v>
          </cell>
          <cell r="K30">
            <v>40</v>
          </cell>
          <cell r="L30">
            <v>0</v>
          </cell>
          <cell r="M30">
            <v>240</v>
          </cell>
          <cell r="N30">
            <v>180</v>
          </cell>
          <cell r="O30">
            <v>28</v>
          </cell>
          <cell r="P30">
            <v>0.2</v>
          </cell>
          <cell r="Q30">
            <v>0</v>
          </cell>
          <cell r="R30">
            <v>0</v>
          </cell>
        </row>
        <row r="31">
          <cell r="A31" t="str">
            <v>НАПИТОК ИЗ ПЛОДОВ ШИПОВНИКА</v>
          </cell>
          <cell r="B31">
            <v>200</v>
          </cell>
          <cell r="C31">
            <v>200</v>
          </cell>
          <cell r="D31">
            <v>200</v>
          </cell>
          <cell r="E31">
            <v>0.67800000000000005</v>
          </cell>
          <cell r="F31">
            <v>0.27800000000000002</v>
          </cell>
          <cell r="G31">
            <v>20.76</v>
          </cell>
          <cell r="H31">
            <v>88.2</v>
          </cell>
          <cell r="I31">
            <v>1.2E-2</v>
          </cell>
          <cell r="J31">
            <v>100</v>
          </cell>
          <cell r="K31">
            <v>0</v>
          </cell>
          <cell r="L31">
            <v>0</v>
          </cell>
          <cell r="M31">
            <v>21.34</v>
          </cell>
          <cell r="N31">
            <v>3.44</v>
          </cell>
          <cell r="O31">
            <v>3.44</v>
          </cell>
          <cell r="P31">
            <v>0.63400000000000001</v>
          </cell>
          <cell r="Q31">
            <v>388</v>
          </cell>
          <cell r="R31">
            <v>2011</v>
          </cell>
        </row>
        <row r="32">
          <cell r="A32">
            <v>0</v>
          </cell>
          <cell r="B32">
            <v>0</v>
          </cell>
          <cell r="C32">
            <v>0</v>
          </cell>
          <cell r="D32">
            <v>1000</v>
          </cell>
          <cell r="E32">
            <v>3.39</v>
          </cell>
          <cell r="F32">
            <v>1.39</v>
          </cell>
          <cell r="G32">
            <v>103.8</v>
          </cell>
          <cell r="H32">
            <v>441</v>
          </cell>
          <cell r="I32">
            <v>0.06</v>
          </cell>
          <cell r="J32">
            <v>500</v>
          </cell>
          <cell r="K32">
            <v>0</v>
          </cell>
          <cell r="L32">
            <v>0</v>
          </cell>
          <cell r="M32">
            <v>106.7</v>
          </cell>
          <cell r="N32">
            <v>17.2</v>
          </cell>
          <cell r="O32">
            <v>17.2</v>
          </cell>
          <cell r="P32">
            <v>3.17</v>
          </cell>
          <cell r="Q32">
            <v>0</v>
          </cell>
          <cell r="R32">
            <v>0</v>
          </cell>
        </row>
        <row r="33">
          <cell r="A33" t="str">
            <v>СОК ФРУКТОВЫЙ</v>
          </cell>
          <cell r="B33">
            <v>200</v>
          </cell>
          <cell r="C33">
            <v>200</v>
          </cell>
          <cell r="D33">
            <v>200</v>
          </cell>
          <cell r="E33">
            <v>1</v>
          </cell>
          <cell r="F33">
            <v>0.2</v>
          </cell>
          <cell r="G33">
            <v>20.2</v>
          </cell>
          <cell r="H33">
            <v>86.6</v>
          </cell>
          <cell r="I33">
            <v>0.02</v>
          </cell>
          <cell r="J33">
            <v>4</v>
          </cell>
          <cell r="K33">
            <v>0</v>
          </cell>
          <cell r="L33">
            <v>0.2</v>
          </cell>
          <cell r="M33">
            <v>14</v>
          </cell>
          <cell r="N33">
            <v>14</v>
          </cell>
          <cell r="O33">
            <v>8</v>
          </cell>
          <cell r="P33">
            <v>2.8</v>
          </cell>
          <cell r="Q33" t="str">
            <v>ПР</v>
          </cell>
          <cell r="R33">
            <v>0</v>
          </cell>
        </row>
        <row r="34">
          <cell r="A34">
            <v>0</v>
          </cell>
          <cell r="B34">
            <v>0</v>
          </cell>
          <cell r="C34">
            <v>0</v>
          </cell>
          <cell r="D34">
            <v>200</v>
          </cell>
          <cell r="E34">
            <v>1</v>
          </cell>
          <cell r="F34">
            <v>0.2</v>
          </cell>
          <cell r="G34">
            <v>20.2</v>
          </cell>
          <cell r="H34">
            <v>86.6</v>
          </cell>
          <cell r="I34">
            <v>0.02</v>
          </cell>
          <cell r="J34">
            <v>4</v>
          </cell>
          <cell r="K34">
            <v>0</v>
          </cell>
          <cell r="L34">
            <v>0.2</v>
          </cell>
          <cell r="M34">
            <v>14</v>
          </cell>
          <cell r="N34">
            <v>14</v>
          </cell>
          <cell r="O34">
            <v>8</v>
          </cell>
          <cell r="P34">
            <v>2.8</v>
          </cell>
          <cell r="Q34">
            <v>0</v>
          </cell>
          <cell r="R34">
            <v>0</v>
          </cell>
        </row>
      </sheetData>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ечка"/>
      <sheetName val="напитки"/>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ека"/>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пы"/>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ши"/>
      <sheetName val="салаты"/>
      <sheetName val="напитки"/>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питки"/>
      <sheetName val="Выпека"/>
      <sheetName val="Cалаты"/>
      <sheetName val="Мясо"/>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дней с 7 до 11 лет"/>
      <sheetName val="Лист1"/>
      <sheetName val="РП с 7 до 11 лет"/>
      <sheetName val="Лист1 с 7 до 11 лет"/>
      <sheetName val="нормы"/>
      <sheetName val="расчеты"/>
      <sheetName val="салаты"/>
      <sheetName val="ТК_салаты_1-33"/>
      <sheetName val="мясо"/>
      <sheetName val="ТК_мясо_34-57"/>
      <sheetName val="каши"/>
      <sheetName val="ТК_каши_58-73"/>
      <sheetName val="супы"/>
      <sheetName val="ТК_супы_74-85"/>
      <sheetName val="выпечка"/>
      <sheetName val="ТК_выпечка_86-100"/>
      <sheetName val="напитки"/>
      <sheetName val="ТК_напитки_101-114"/>
      <sheetName val="ТК_соус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питки"/>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ясо"/>
      <sheetName val="салаты"/>
    </sheetNames>
    <sheetDataSet>
      <sheetData sheetId="0" refreshError="1"/>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7"/>
  <sheetViews>
    <sheetView tabSelected="1" topLeftCell="A201" zoomScale="90" zoomScaleNormal="90" workbookViewId="0">
      <selection activeCell="B212" sqref="B212"/>
    </sheetView>
  </sheetViews>
  <sheetFormatPr defaultRowHeight="15" x14ac:dyDescent="0.25"/>
  <cols>
    <col min="1" max="1" width="17.7109375" customWidth="1"/>
    <col min="2" max="2" width="35.7109375" customWidth="1"/>
    <col min="3" max="3" width="8.28515625" customWidth="1"/>
    <col min="4" max="4" width="7.5703125" customWidth="1"/>
    <col min="5" max="5" width="7.7109375" customWidth="1"/>
    <col min="6" max="6" width="6.42578125" customWidth="1"/>
    <col min="7" max="7" width="9.42578125" customWidth="1"/>
    <col min="8" max="8" width="7.28515625" hidden="1" customWidth="1"/>
    <col min="9" max="14" width="7.7109375" customWidth="1"/>
    <col min="15" max="15" width="7.7109375" hidden="1" customWidth="1"/>
    <col min="16" max="16" width="6.28515625" hidden="1" customWidth="1"/>
    <col min="17" max="17" width="7.7109375" hidden="1" customWidth="1"/>
    <col min="18" max="18" width="7.7109375" customWidth="1"/>
    <col min="19" max="19" width="15.7109375" customWidth="1"/>
    <col min="20" max="31" width="10.7109375" customWidth="1"/>
  </cols>
  <sheetData>
    <row r="1" spans="1:32" ht="21" x14ac:dyDescent="0.35">
      <c r="A1" s="318" t="s">
        <v>1163</v>
      </c>
      <c r="B1" s="317"/>
      <c r="C1" s="318"/>
      <c r="D1" s="317"/>
      <c r="E1" s="321"/>
      <c r="F1" s="141"/>
    </row>
    <row r="2" spans="1:32" s="85" customFormat="1" ht="30" customHeight="1" x14ac:dyDescent="0.25">
      <c r="A2" s="410" t="s">
        <v>141</v>
      </c>
      <c r="B2" s="410" t="s">
        <v>1</v>
      </c>
      <c r="C2" s="411" t="s">
        <v>3</v>
      </c>
      <c r="D2" s="410" t="s">
        <v>121</v>
      </c>
      <c r="E2" s="410"/>
      <c r="F2" s="410"/>
      <c r="G2" s="411" t="s">
        <v>142</v>
      </c>
      <c r="H2" s="406"/>
      <c r="I2" s="406"/>
      <c r="J2" s="406"/>
      <c r="K2" s="406"/>
      <c r="L2" s="406"/>
      <c r="M2" s="406"/>
      <c r="N2" s="406"/>
      <c r="O2" s="406"/>
      <c r="P2" s="406"/>
      <c r="Q2" s="258"/>
    </row>
    <row r="3" spans="1:32" s="85" customFormat="1" ht="48.75" customHeight="1" x14ac:dyDescent="0.25">
      <c r="A3" s="410"/>
      <c r="B3" s="410"/>
      <c r="C3" s="411"/>
      <c r="D3" s="277" t="s">
        <v>122</v>
      </c>
      <c r="E3" s="277" t="s">
        <v>123</v>
      </c>
      <c r="F3" s="277" t="s">
        <v>124</v>
      </c>
      <c r="G3" s="411"/>
      <c r="H3" s="258"/>
      <c r="I3" s="258"/>
      <c r="J3" s="258"/>
      <c r="K3" s="258"/>
      <c r="L3" s="258"/>
      <c r="M3" s="258"/>
      <c r="N3" s="258"/>
      <c r="O3" s="258"/>
      <c r="P3" s="258"/>
      <c r="Q3" s="258"/>
    </row>
    <row r="4" spans="1:32" s="85" customFormat="1" ht="15" customHeight="1" x14ac:dyDescent="0.25">
      <c r="A4" s="86">
        <v>1</v>
      </c>
      <c r="B4" s="86">
        <v>2</v>
      </c>
      <c r="C4" s="86">
        <v>3</v>
      </c>
      <c r="D4" s="86">
        <v>4</v>
      </c>
      <c r="E4" s="86">
        <v>5</v>
      </c>
      <c r="F4" s="86">
        <v>6</v>
      </c>
      <c r="G4" s="86">
        <v>7</v>
      </c>
      <c r="H4" s="259"/>
      <c r="I4" s="259"/>
      <c r="J4" s="259"/>
      <c r="K4" s="259"/>
      <c r="L4" s="259"/>
      <c r="M4" s="259"/>
      <c r="N4" s="259"/>
      <c r="O4" s="259"/>
      <c r="P4" s="259"/>
      <c r="Q4" s="259"/>
    </row>
    <row r="5" spans="1:32" s="85" customFormat="1" ht="15" customHeight="1" x14ac:dyDescent="0.25">
      <c r="A5" s="407" t="s">
        <v>1036</v>
      </c>
      <c r="B5" s="408"/>
      <c r="C5" s="408"/>
      <c r="D5" s="408"/>
      <c r="E5" s="408"/>
      <c r="F5" s="408"/>
      <c r="G5" s="409"/>
      <c r="H5" s="206"/>
      <c r="I5" s="206"/>
      <c r="J5" s="206"/>
      <c r="K5" s="206"/>
      <c r="L5" s="206"/>
      <c r="M5" s="206"/>
      <c r="N5" s="206"/>
      <c r="O5" s="206"/>
      <c r="P5" s="206"/>
      <c r="Q5" s="258"/>
    </row>
    <row r="6" spans="1:32" s="85" customFormat="1" ht="15" customHeight="1" x14ac:dyDescent="0.25">
      <c r="A6" s="86"/>
      <c r="B6" s="276" t="s">
        <v>126</v>
      </c>
      <c r="C6" s="88"/>
      <c r="D6" s="87"/>
      <c r="E6" s="87"/>
      <c r="F6" s="87"/>
      <c r="G6" s="87"/>
      <c r="H6" s="260"/>
      <c r="I6" s="260"/>
      <c r="J6" s="260"/>
      <c r="K6" s="260"/>
      <c r="L6" s="260"/>
      <c r="M6" s="260"/>
      <c r="N6" s="260"/>
      <c r="O6" s="260"/>
      <c r="P6" s="260"/>
      <c r="Q6" s="260"/>
      <c r="S6" s="63"/>
      <c r="T6" s="37"/>
      <c r="U6" s="37"/>
      <c r="V6" s="37"/>
      <c r="W6" s="37"/>
      <c r="X6" s="34"/>
      <c r="Y6" s="36"/>
      <c r="Z6" s="220" t="s">
        <v>84</v>
      </c>
      <c r="AA6" s="220" t="s">
        <v>85</v>
      </c>
      <c r="AB6" s="108" t="s">
        <v>86</v>
      </c>
      <c r="AC6" s="108" t="s">
        <v>84</v>
      </c>
      <c r="AD6" s="55" t="s">
        <v>87</v>
      </c>
      <c r="AE6" s="55" t="s">
        <v>88</v>
      </c>
      <c r="AF6" s="63"/>
    </row>
    <row r="7" spans="1:32" s="370" customFormat="1" ht="15" customHeight="1" x14ac:dyDescent="0.25">
      <c r="A7" s="349" t="s">
        <v>1092</v>
      </c>
      <c r="B7" s="350" t="s">
        <v>26</v>
      </c>
      <c r="C7" s="352">
        <v>20</v>
      </c>
      <c r="D7" s="322">
        <v>1.45</v>
      </c>
      <c r="E7" s="322">
        <v>0.02</v>
      </c>
      <c r="F7" s="322">
        <v>3.8</v>
      </c>
      <c r="G7" s="322">
        <v>21.33</v>
      </c>
      <c r="H7" s="260"/>
      <c r="I7" s="260"/>
      <c r="J7" s="260"/>
      <c r="K7" s="260"/>
      <c r="L7" s="260"/>
      <c r="M7" s="260"/>
      <c r="N7" s="260"/>
      <c r="O7" s="260"/>
      <c r="P7" s="260"/>
      <c r="Q7" s="260"/>
      <c r="S7" s="367"/>
      <c r="T7" s="37"/>
      <c r="U7" s="37"/>
      <c r="V7" s="37"/>
      <c r="W7" s="37"/>
      <c r="X7" s="366"/>
      <c r="Y7" s="368"/>
      <c r="Z7" s="220"/>
      <c r="AA7" s="220"/>
      <c r="AB7" s="365"/>
      <c r="AC7" s="365"/>
      <c r="AD7" s="369"/>
      <c r="AE7" s="369"/>
      <c r="AF7" s="367"/>
    </row>
    <row r="8" spans="1:32" s="394" customFormat="1" ht="15" customHeight="1" x14ac:dyDescent="0.25">
      <c r="A8" s="349" t="s">
        <v>1092</v>
      </c>
      <c r="B8" s="350" t="s">
        <v>895</v>
      </c>
      <c r="C8" s="352">
        <v>15</v>
      </c>
      <c r="D8" s="322">
        <v>0.08</v>
      </c>
      <c r="E8" s="322">
        <v>1.35</v>
      </c>
      <c r="F8" s="322">
        <v>2.13</v>
      </c>
      <c r="G8" s="397">
        <v>66</v>
      </c>
      <c r="H8" s="260"/>
      <c r="I8" s="260"/>
      <c r="J8" s="260"/>
      <c r="K8" s="260"/>
      <c r="L8" s="260"/>
      <c r="M8" s="260"/>
      <c r="N8" s="260"/>
      <c r="O8" s="260"/>
      <c r="P8" s="260"/>
      <c r="Q8" s="260"/>
      <c r="S8" s="391"/>
      <c r="T8" s="37"/>
      <c r="U8" s="37"/>
      <c r="V8" s="37"/>
      <c r="W8" s="37"/>
      <c r="X8" s="390"/>
      <c r="Y8" s="392"/>
      <c r="Z8" s="220"/>
      <c r="AA8" s="220"/>
      <c r="AB8" s="388"/>
      <c r="AC8" s="388"/>
      <c r="AD8" s="393"/>
      <c r="AE8" s="393"/>
      <c r="AF8" s="391"/>
    </row>
    <row r="9" spans="1:32" ht="15" customHeight="1" x14ac:dyDescent="0.25">
      <c r="A9" s="349" t="s">
        <v>1092</v>
      </c>
      <c r="B9" s="350" t="s">
        <v>907</v>
      </c>
      <c r="C9" s="352">
        <v>100</v>
      </c>
      <c r="D9" s="322">
        <v>0.4</v>
      </c>
      <c r="E9" s="322">
        <v>0.4</v>
      </c>
      <c r="F9" s="322">
        <v>9.8000000000000007</v>
      </c>
      <c r="G9" s="322">
        <v>44.4</v>
      </c>
      <c r="H9" s="260"/>
      <c r="I9" s="260"/>
      <c r="J9" s="260"/>
      <c r="K9" s="260"/>
      <c r="L9" s="260"/>
      <c r="M9" s="260"/>
      <c r="N9" s="260"/>
      <c r="O9" s="260"/>
      <c r="P9" s="283"/>
      <c r="Q9" s="260"/>
      <c r="S9" s="214"/>
      <c r="T9" s="286"/>
      <c r="U9" s="286"/>
      <c r="V9" s="286"/>
      <c r="W9" s="286"/>
      <c r="X9" s="34"/>
      <c r="Y9" s="109" t="s">
        <v>68</v>
      </c>
      <c r="Z9" s="220">
        <v>25</v>
      </c>
      <c r="AA9" s="220" t="e">
        <f>VLOOKUP($S9,нормы!A14:F15, 2, FALSE)</f>
        <v>#N/A</v>
      </c>
      <c r="AB9" s="41">
        <f>G16+G17</f>
        <v>670.85</v>
      </c>
      <c r="AC9" s="41" t="e">
        <f>AB9*100/AA9</f>
        <v>#N/A</v>
      </c>
      <c r="AD9" s="110" t="e">
        <f>AC9-100</f>
        <v>#N/A</v>
      </c>
      <c r="AE9" s="41" t="e">
        <f>AB9*100/AB13</f>
        <v>#REF!</v>
      </c>
    </row>
    <row r="10" spans="1:32" ht="15" hidden="1" customHeight="1" x14ac:dyDescent="0.25">
      <c r="A10" s="349"/>
      <c r="B10" s="350"/>
      <c r="C10" s="352"/>
      <c r="D10" s="322"/>
      <c r="E10" s="322"/>
      <c r="F10" s="322"/>
      <c r="G10" s="322"/>
      <c r="H10" s="260"/>
      <c r="I10" s="260"/>
      <c r="J10" s="260"/>
      <c r="K10" s="260"/>
      <c r="L10" s="260"/>
      <c r="M10" s="260"/>
      <c r="N10" s="260"/>
      <c r="O10" s="260"/>
      <c r="P10" s="260"/>
      <c r="Q10" s="260"/>
      <c r="S10" s="111"/>
      <c r="T10" s="286"/>
      <c r="U10" s="286"/>
      <c r="V10" s="286"/>
      <c r="W10" s="286"/>
      <c r="X10" s="34"/>
      <c r="Y10" s="109" t="s">
        <v>69</v>
      </c>
      <c r="Z10" s="220">
        <v>35</v>
      </c>
      <c r="AA10" s="220" t="e">
        <f>VLOOKUP($S9,нормы!A14:F15, 3, FALSE)</f>
        <v>#N/A</v>
      </c>
      <c r="AB10" s="41" t="e">
        <f>#REF!</f>
        <v>#REF!</v>
      </c>
      <c r="AC10" s="41" t="e">
        <f>AB10*100/AA10</f>
        <v>#REF!</v>
      </c>
      <c r="AD10" s="110" t="e">
        <f>AC10-100</f>
        <v>#REF!</v>
      </c>
      <c r="AE10" s="42" t="e">
        <f>AB10*100/AB13</f>
        <v>#REF!</v>
      </c>
    </row>
    <row r="11" spans="1:32" ht="15" customHeight="1" x14ac:dyDescent="0.25">
      <c r="A11" s="349" t="s">
        <v>1127</v>
      </c>
      <c r="B11" s="227" t="s">
        <v>1128</v>
      </c>
      <c r="C11" s="323">
        <v>200</v>
      </c>
      <c r="D11" s="322">
        <v>5.3</v>
      </c>
      <c r="E11" s="322">
        <v>11.85</v>
      </c>
      <c r="F11" s="322">
        <v>10.7</v>
      </c>
      <c r="G11" s="322">
        <v>224</v>
      </c>
      <c r="H11" s="260"/>
      <c r="I11" s="260"/>
      <c r="J11" s="260"/>
      <c r="K11" s="260"/>
      <c r="L11" s="260"/>
      <c r="M11" s="260"/>
      <c r="N11" s="260"/>
      <c r="O11" s="260"/>
      <c r="P11" s="260"/>
      <c r="Q11" s="260"/>
      <c r="S11" s="112"/>
      <c r="T11" s="285"/>
      <c r="U11" s="285"/>
      <c r="V11" s="285"/>
      <c r="W11" s="285"/>
      <c r="X11" s="34"/>
      <c r="Y11" s="109"/>
      <c r="Z11" s="220"/>
      <c r="AA11" s="220"/>
      <c r="AB11" s="41"/>
      <c r="AC11" s="41"/>
      <c r="AD11" s="110"/>
      <c r="AE11" s="41"/>
    </row>
    <row r="12" spans="1:32" ht="15" customHeight="1" x14ac:dyDescent="0.25">
      <c r="A12" s="349" t="s">
        <v>1092</v>
      </c>
      <c r="B12" s="351" t="s">
        <v>1153</v>
      </c>
      <c r="C12" s="334">
        <v>15</v>
      </c>
      <c r="D12" s="335">
        <v>1.3</v>
      </c>
      <c r="E12" s="335">
        <v>0.9</v>
      </c>
      <c r="F12" s="335">
        <v>1.45</v>
      </c>
      <c r="G12" s="335">
        <v>45.14</v>
      </c>
      <c r="H12" s="260"/>
      <c r="I12" s="260"/>
      <c r="J12" s="260"/>
      <c r="K12" s="260"/>
      <c r="L12" s="260"/>
      <c r="M12" s="260"/>
      <c r="N12" s="260"/>
      <c r="O12" s="260"/>
      <c r="P12" s="260"/>
      <c r="Q12" s="260"/>
      <c r="S12" s="112"/>
      <c r="T12" s="285"/>
      <c r="U12" s="285"/>
      <c r="V12" s="285"/>
      <c r="W12" s="285"/>
      <c r="X12" s="372"/>
      <c r="Y12" s="109"/>
      <c r="Z12" s="220"/>
      <c r="AA12" s="220"/>
      <c r="AB12" s="41"/>
      <c r="AC12" s="41"/>
      <c r="AD12" s="110"/>
      <c r="AE12" s="41"/>
    </row>
    <row r="13" spans="1:32" ht="15" customHeight="1" x14ac:dyDescent="0.25">
      <c r="A13" s="385" t="s">
        <v>1154</v>
      </c>
      <c r="B13" s="227" t="s">
        <v>162</v>
      </c>
      <c r="C13" s="334">
        <v>200</v>
      </c>
      <c r="D13" s="335">
        <v>4.5999999999999996</v>
      </c>
      <c r="E13" s="335">
        <v>3.6</v>
      </c>
      <c r="F13" s="335">
        <v>12.6</v>
      </c>
      <c r="G13" s="335">
        <v>80.400000000000006</v>
      </c>
      <c r="H13" s="260"/>
      <c r="I13" s="260"/>
      <c r="J13" s="260"/>
      <c r="K13" s="260"/>
      <c r="L13" s="260"/>
      <c r="M13" s="260"/>
      <c r="N13" s="260"/>
      <c r="O13" s="260"/>
      <c r="P13" s="260"/>
      <c r="Q13" s="260"/>
      <c r="S13" s="61"/>
      <c r="T13" s="272"/>
      <c r="U13" s="272"/>
      <c r="V13" s="272"/>
      <c r="W13" s="272"/>
      <c r="X13" s="34"/>
      <c r="Y13" s="109" t="s">
        <v>173</v>
      </c>
      <c r="Z13" s="220">
        <f>SUM(Z6:Z11)</f>
        <v>60</v>
      </c>
      <c r="AA13" s="220" t="e">
        <f>SUM(AA9:AA11)</f>
        <v>#N/A</v>
      </c>
      <c r="AB13" s="41" t="e">
        <f>#REF!</f>
        <v>#REF!</v>
      </c>
      <c r="AC13" s="41" t="e">
        <f>AB13*100/AA13</f>
        <v>#REF!</v>
      </c>
      <c r="AD13" s="110" t="e">
        <f>AC13-100</f>
        <v>#REF!</v>
      </c>
      <c r="AE13" s="41"/>
    </row>
    <row r="14" spans="1:32" ht="15" customHeight="1" x14ac:dyDescent="0.25">
      <c r="A14" s="349" t="str">
        <f>VLOOKUP($B14, [1]выпечка!$A$1:$R$52, 17, FALSE)</f>
        <v>ПР</v>
      </c>
      <c r="B14" s="351" t="s">
        <v>52</v>
      </c>
      <c r="C14" s="352">
        <v>50</v>
      </c>
      <c r="D14" s="353">
        <v>3.75</v>
      </c>
      <c r="E14" s="353">
        <v>0.38</v>
      </c>
      <c r="F14" s="353">
        <v>24.63</v>
      </c>
      <c r="G14" s="353">
        <v>117.25</v>
      </c>
      <c r="H14" s="284"/>
      <c r="I14" s="284"/>
      <c r="J14" s="284"/>
      <c r="K14" s="284"/>
      <c r="L14" s="284"/>
      <c r="M14" s="284"/>
      <c r="N14" s="284"/>
      <c r="O14" s="260"/>
      <c r="P14" s="260"/>
      <c r="Q14" s="260"/>
      <c r="S14" s="61"/>
      <c r="T14" s="272"/>
      <c r="U14" s="272"/>
      <c r="V14" s="272"/>
      <c r="W14" s="272"/>
      <c r="X14" s="271"/>
      <c r="Y14" s="109"/>
      <c r="Z14" s="37"/>
      <c r="AA14" s="37"/>
      <c r="AB14" s="143"/>
      <c r="AC14" s="143"/>
      <c r="AD14" s="273"/>
      <c r="AE14" s="143"/>
    </row>
    <row r="15" spans="1:32" ht="15" customHeight="1" x14ac:dyDescent="0.25">
      <c r="A15" s="349" t="str">
        <f>VLOOKUP($B15, [1]выпечка!$A$1:$R$52, 17, FALSE)</f>
        <v>ПР</v>
      </c>
      <c r="B15" s="350" t="s">
        <v>1026</v>
      </c>
      <c r="C15" s="352">
        <v>30</v>
      </c>
      <c r="D15" s="353">
        <v>2.41</v>
      </c>
      <c r="E15" s="353">
        <v>0.37</v>
      </c>
      <c r="F15" s="353">
        <v>14.62</v>
      </c>
      <c r="G15" s="353">
        <v>72.33</v>
      </c>
      <c r="H15" s="260"/>
      <c r="I15" s="260"/>
      <c r="J15" s="260"/>
      <c r="K15" s="260"/>
      <c r="L15" s="260"/>
      <c r="M15" s="260"/>
      <c r="N15" s="260"/>
      <c r="O15" s="260"/>
      <c r="P15" s="260"/>
      <c r="Q15" s="260"/>
    </row>
    <row r="16" spans="1:32" ht="15" customHeight="1" x14ac:dyDescent="0.25">
      <c r="A16" s="349"/>
      <c r="B16" s="337" t="s">
        <v>100</v>
      </c>
      <c r="C16" s="380">
        <f>C15+C14+C13+C12+C11+C9+C8+C7</f>
        <v>630</v>
      </c>
      <c r="D16" s="325">
        <f>SUM(D7:D15)</f>
        <v>19.290000000000003</v>
      </c>
      <c r="E16" s="325">
        <f>SUM(E7:E15)</f>
        <v>18.87</v>
      </c>
      <c r="F16" s="325">
        <f>SUM(F7:F15)</f>
        <v>79.73</v>
      </c>
      <c r="G16" s="325">
        <f>G15+G14+G13+G12+G11+G9+G8+G7</f>
        <v>670.85</v>
      </c>
      <c r="H16" s="261"/>
      <c r="I16" s="261"/>
      <c r="J16" s="261"/>
      <c r="K16" s="261"/>
      <c r="L16" s="261"/>
      <c r="M16" s="261"/>
      <c r="N16" s="261"/>
      <c r="O16" s="261"/>
      <c r="P16" s="261"/>
      <c r="Q16" s="261"/>
    </row>
    <row r="17" spans="1:30" ht="15" customHeight="1" x14ac:dyDescent="0.25">
      <c r="A17" s="349"/>
      <c r="B17" s="351"/>
      <c r="C17" s="332"/>
      <c r="D17" s="325"/>
      <c r="E17" s="325"/>
      <c r="F17" s="325"/>
      <c r="G17" s="325"/>
      <c r="H17" s="261"/>
      <c r="I17" s="261"/>
      <c r="J17" s="261"/>
      <c r="K17" s="261"/>
      <c r="L17" s="261"/>
      <c r="M17" s="261"/>
      <c r="N17" s="261"/>
      <c r="O17" s="261"/>
      <c r="P17" s="261"/>
      <c r="Q17" s="261"/>
    </row>
    <row r="18" spans="1:30" ht="15" customHeight="1" x14ac:dyDescent="0.25">
      <c r="A18" s="324"/>
      <c r="B18" s="329" t="s">
        <v>127</v>
      </c>
      <c r="C18" s="324"/>
      <c r="D18" s="324"/>
      <c r="E18" s="324"/>
      <c r="F18" s="324"/>
      <c r="G18" s="324"/>
      <c r="H18" s="282"/>
      <c r="I18" s="282"/>
      <c r="J18" s="282"/>
      <c r="K18" s="282"/>
      <c r="L18" s="282"/>
      <c r="M18" s="282"/>
      <c r="N18" s="282"/>
      <c r="O18" s="282"/>
      <c r="P18" s="282"/>
      <c r="Q18" s="257"/>
    </row>
    <row r="19" spans="1:30" ht="15" customHeight="1" x14ac:dyDescent="0.25">
      <c r="A19" s="346" t="s">
        <v>1092</v>
      </c>
      <c r="B19" s="227" t="s">
        <v>30</v>
      </c>
      <c r="C19" s="361">
        <v>100</v>
      </c>
      <c r="D19" s="362">
        <v>0.8</v>
      </c>
      <c r="E19" s="362">
        <v>2</v>
      </c>
      <c r="F19" s="362">
        <v>4.0999999999999996</v>
      </c>
      <c r="G19" s="362">
        <v>37.6</v>
      </c>
      <c r="H19" s="260"/>
      <c r="I19" s="260"/>
      <c r="J19" s="260"/>
      <c r="K19" s="260"/>
      <c r="L19" s="260"/>
      <c r="M19" s="260"/>
      <c r="N19" s="260"/>
      <c r="O19" s="260"/>
      <c r="P19" s="260"/>
      <c r="Q19" s="260"/>
    </row>
    <row r="20" spans="1:30" ht="24.95" customHeight="1" x14ac:dyDescent="0.25">
      <c r="A20" s="346" t="s">
        <v>1122</v>
      </c>
      <c r="B20" s="227" t="s">
        <v>43</v>
      </c>
      <c r="C20" s="334">
        <v>250</v>
      </c>
      <c r="D20" s="335">
        <v>2.02</v>
      </c>
      <c r="E20" s="335">
        <v>5.09</v>
      </c>
      <c r="F20" s="322">
        <f>VLOOKUP($B20,[2]Супы!$A$5:$Q$28,7,FALSE)</f>
        <v>11.98</v>
      </c>
      <c r="G20" s="322">
        <v>129.75</v>
      </c>
      <c r="H20" s="260"/>
      <c r="I20" s="260"/>
      <c r="J20" s="260"/>
      <c r="K20" s="260"/>
      <c r="L20" s="260"/>
      <c r="M20" s="260"/>
      <c r="N20" s="260"/>
      <c r="O20" s="260"/>
      <c r="P20" s="260"/>
      <c r="Q20" s="260"/>
    </row>
    <row r="21" spans="1:30" ht="24.95" customHeight="1" x14ac:dyDescent="0.25">
      <c r="A21" s="333" t="s">
        <v>1095</v>
      </c>
      <c r="B21" s="227" t="s">
        <v>1062</v>
      </c>
      <c r="C21" s="334">
        <v>180</v>
      </c>
      <c r="D21" s="335">
        <v>5.4</v>
      </c>
      <c r="E21" s="335">
        <v>4.9000000000000004</v>
      </c>
      <c r="F21" s="335">
        <v>14.8</v>
      </c>
      <c r="G21" s="335">
        <v>196.8</v>
      </c>
      <c r="H21" s="260"/>
      <c r="I21" s="260"/>
      <c r="J21" s="260"/>
      <c r="K21" s="260"/>
      <c r="L21" s="260"/>
      <c r="M21" s="260"/>
      <c r="N21" s="260"/>
      <c r="O21" s="260"/>
      <c r="P21" s="260"/>
      <c r="Q21" s="260"/>
    </row>
    <row r="22" spans="1:30" ht="15" customHeight="1" x14ac:dyDescent="0.25">
      <c r="A22" s="333" t="s">
        <v>1132</v>
      </c>
      <c r="B22" s="227" t="s">
        <v>1168</v>
      </c>
      <c r="C22" s="334">
        <v>100</v>
      </c>
      <c r="D22" s="335">
        <v>6.96</v>
      </c>
      <c r="E22" s="335">
        <v>10.01</v>
      </c>
      <c r="F22" s="335">
        <v>11.61</v>
      </c>
      <c r="G22" s="335">
        <v>283</v>
      </c>
      <c r="H22" s="260"/>
      <c r="I22" s="260"/>
      <c r="J22" s="260"/>
      <c r="K22" s="260"/>
      <c r="L22" s="291"/>
      <c r="M22" s="291"/>
      <c r="N22" s="292"/>
      <c r="O22" s="291"/>
      <c r="P22" s="291"/>
      <c r="Q22" s="291"/>
      <c r="R22" s="302"/>
      <c r="S22" s="302"/>
      <c r="T22" s="302"/>
      <c r="U22" s="302"/>
      <c r="V22" s="302"/>
      <c r="W22" s="302"/>
      <c r="X22" s="302"/>
      <c r="Y22" s="302"/>
      <c r="Z22" s="302"/>
      <c r="AA22" s="302"/>
      <c r="AB22" s="302"/>
      <c r="AC22" s="302"/>
      <c r="AD22" s="302"/>
    </row>
    <row r="23" spans="1:30" ht="15" hidden="1" customHeight="1" x14ac:dyDescent="0.25">
      <c r="A23" s="333" t="s">
        <v>1041</v>
      </c>
      <c r="B23" s="227"/>
      <c r="C23" s="334"/>
      <c r="D23" s="335"/>
      <c r="E23" s="335"/>
      <c r="F23" s="335"/>
      <c r="G23" s="335"/>
      <c r="H23" s="260"/>
      <c r="I23" s="260"/>
      <c r="J23" s="260"/>
      <c r="K23" s="260"/>
      <c r="L23" s="291"/>
      <c r="M23" s="291"/>
      <c r="N23" s="292"/>
      <c r="O23" s="291"/>
      <c r="P23" s="291"/>
      <c r="Q23" s="291"/>
      <c r="R23" s="302"/>
      <c r="S23" s="302"/>
      <c r="T23" s="302"/>
      <c r="U23" s="302"/>
      <c r="V23" s="302"/>
      <c r="W23" s="302"/>
      <c r="X23" s="302"/>
      <c r="Y23" s="302"/>
      <c r="Z23" s="302"/>
      <c r="AA23" s="302"/>
      <c r="AB23" s="302"/>
      <c r="AC23" s="302"/>
      <c r="AD23" s="302"/>
    </row>
    <row r="24" spans="1:30" ht="15" customHeight="1" x14ac:dyDescent="0.25">
      <c r="A24" s="333" t="str">
        <f>VLOOKUP($B24, выпечка!$A$1:$R$52, 17, FALSE)</f>
        <v>ПР</v>
      </c>
      <c r="B24" s="336" t="s">
        <v>52</v>
      </c>
      <c r="C24" s="352">
        <v>60</v>
      </c>
      <c r="D24" s="353">
        <v>4.5999999999999996</v>
      </c>
      <c r="E24" s="353">
        <v>0.5</v>
      </c>
      <c r="F24" s="353">
        <v>29.5</v>
      </c>
      <c r="G24" s="353">
        <v>140.6</v>
      </c>
      <c r="H24" s="260"/>
      <c r="I24" s="260"/>
      <c r="J24" s="260"/>
      <c r="K24" s="260"/>
      <c r="L24" s="291"/>
      <c r="M24" s="291"/>
      <c r="N24" s="291"/>
      <c r="O24" s="291"/>
      <c r="P24" s="291"/>
      <c r="Q24" s="291"/>
      <c r="R24" s="302"/>
      <c r="S24" s="302"/>
      <c r="T24" s="302"/>
      <c r="U24" s="302"/>
      <c r="V24" s="302"/>
      <c r="W24" s="302"/>
      <c r="X24" s="302"/>
      <c r="Y24" s="302"/>
      <c r="Z24" s="302"/>
      <c r="AA24" s="302"/>
      <c r="AB24" s="302"/>
      <c r="AC24" s="302"/>
      <c r="AD24" s="302"/>
    </row>
    <row r="25" spans="1:30" ht="15" customHeight="1" x14ac:dyDescent="0.25">
      <c r="A25" s="333" t="str">
        <f>VLOOKUP($B25, выпечка!$A$1:$R$52, 17, FALSE)</f>
        <v>ПР</v>
      </c>
      <c r="B25" s="227" t="s">
        <v>53</v>
      </c>
      <c r="C25" s="352">
        <v>40</v>
      </c>
      <c r="D25" s="353">
        <v>2.67</v>
      </c>
      <c r="E25" s="353">
        <v>0.53</v>
      </c>
      <c r="F25" s="353">
        <v>13.33</v>
      </c>
      <c r="G25" s="353">
        <f>VLOOKUP($B25, [3]выпечка!$A$1:$R$52, 8, FALSE)</f>
        <v>45.98</v>
      </c>
      <c r="H25" s="260"/>
      <c r="I25" s="260"/>
      <c r="J25" s="260"/>
      <c r="K25" s="260"/>
      <c r="L25" s="291"/>
      <c r="M25" s="291"/>
      <c r="N25" s="291"/>
      <c r="O25" s="291"/>
      <c r="P25" s="291"/>
      <c r="Q25" s="291"/>
      <c r="R25" s="302"/>
      <c r="S25" s="302"/>
      <c r="T25" s="302"/>
      <c r="U25" s="302"/>
      <c r="V25" s="302"/>
      <c r="W25" s="302"/>
      <c r="X25" s="302"/>
      <c r="Y25" s="302"/>
      <c r="Z25" s="302"/>
      <c r="AA25" s="302"/>
      <c r="AB25" s="302"/>
      <c r="AC25" s="302"/>
      <c r="AD25" s="302"/>
    </row>
    <row r="26" spans="1:30" ht="24.95" customHeight="1" x14ac:dyDescent="0.25">
      <c r="A26" s="333" t="s">
        <v>1038</v>
      </c>
      <c r="B26" s="227" t="s">
        <v>1037</v>
      </c>
      <c r="C26" s="334">
        <v>200</v>
      </c>
      <c r="D26" s="335">
        <v>0.2</v>
      </c>
      <c r="E26" s="335">
        <v>0</v>
      </c>
      <c r="F26" s="335">
        <v>6.5</v>
      </c>
      <c r="G26" s="335">
        <v>26.8</v>
      </c>
      <c r="H26" s="260"/>
      <c r="I26" s="260"/>
      <c r="J26" s="260"/>
      <c r="K26" s="260"/>
      <c r="L26" s="291"/>
      <c r="M26" s="291"/>
      <c r="N26" s="291"/>
      <c r="O26" s="291"/>
      <c r="P26" s="291"/>
      <c r="Q26" s="291"/>
      <c r="R26" s="302"/>
      <c r="S26" s="302"/>
      <c r="T26" s="302"/>
      <c r="U26" s="302"/>
      <c r="V26" s="302"/>
      <c r="W26" s="302"/>
      <c r="X26" s="302"/>
      <c r="Y26" s="302"/>
      <c r="Z26" s="302"/>
      <c r="AA26" s="302"/>
      <c r="AB26" s="302"/>
      <c r="AC26" s="302"/>
      <c r="AD26" s="302"/>
    </row>
    <row r="27" spans="1:30" ht="24.95" customHeight="1" x14ac:dyDescent="0.25">
      <c r="A27" s="333"/>
      <c r="B27" s="337" t="s">
        <v>100</v>
      </c>
      <c r="C27" s="380">
        <f>SUM(C19:C26)</f>
        <v>930</v>
      </c>
      <c r="D27" s="325">
        <f>D26+D25+D24+D22+D21+D20+D19</f>
        <v>22.65</v>
      </c>
      <c r="E27" s="325">
        <f>E26+E25+E24+E22+E21+E20+E19</f>
        <v>23.03</v>
      </c>
      <c r="F27" s="325">
        <f t="shared" ref="F27:G27" si="0">F26+F25+F24+F22+F21+F20+F19</f>
        <v>91.82</v>
      </c>
      <c r="G27" s="325">
        <f t="shared" si="0"/>
        <v>860.53000000000009</v>
      </c>
      <c r="H27" s="260"/>
      <c r="I27" s="260"/>
      <c r="J27" s="260"/>
      <c r="K27" s="260"/>
      <c r="L27" s="291"/>
      <c r="M27" s="291"/>
      <c r="N27" s="291"/>
      <c r="O27" s="291"/>
      <c r="P27" s="291"/>
      <c r="Q27" s="291"/>
      <c r="R27" s="302"/>
      <c r="S27" s="302"/>
      <c r="T27" s="302"/>
      <c r="U27" s="302"/>
      <c r="V27" s="302"/>
      <c r="W27" s="302"/>
      <c r="X27" s="302"/>
      <c r="Y27" s="302"/>
      <c r="Z27" s="302"/>
      <c r="AA27" s="302"/>
      <c r="AB27" s="302"/>
      <c r="AC27" s="302"/>
      <c r="AD27" s="302"/>
    </row>
    <row r="28" spans="1:30" ht="24.95" customHeight="1" x14ac:dyDescent="0.25">
      <c r="A28" s="333"/>
      <c r="B28" s="337" t="s">
        <v>100</v>
      </c>
      <c r="C28" s="380"/>
      <c r="D28" s="325">
        <f>D27+D16</f>
        <v>41.94</v>
      </c>
      <c r="E28" s="325">
        <f t="shared" ref="E28:G28" si="1">E27+E16</f>
        <v>41.900000000000006</v>
      </c>
      <c r="F28" s="325">
        <f t="shared" si="1"/>
        <v>171.55</v>
      </c>
      <c r="G28" s="325">
        <f t="shared" si="1"/>
        <v>1531.38</v>
      </c>
      <c r="H28" s="260"/>
      <c r="I28" s="260"/>
      <c r="J28" s="260"/>
      <c r="K28" s="260"/>
      <c r="L28" s="291"/>
      <c r="M28" s="291"/>
      <c r="N28" s="291"/>
      <c r="O28" s="291"/>
      <c r="P28" s="291"/>
      <c r="Q28" s="291"/>
      <c r="R28" s="302"/>
      <c r="S28" s="302"/>
      <c r="T28" s="302"/>
      <c r="U28" s="302"/>
      <c r="V28" s="302"/>
      <c r="W28" s="302"/>
      <c r="X28" s="302"/>
      <c r="Y28" s="302"/>
      <c r="Z28" s="302"/>
      <c r="AA28" s="302"/>
      <c r="AB28" s="302"/>
      <c r="AC28" s="302"/>
      <c r="AD28" s="302"/>
    </row>
    <row r="29" spans="1:30" ht="24.95" hidden="1" customHeight="1" x14ac:dyDescent="0.25">
      <c r="A29" s="333"/>
      <c r="B29" s="337"/>
      <c r="C29" s="334"/>
      <c r="D29" s="335"/>
      <c r="E29" s="335"/>
      <c r="F29" s="335"/>
      <c r="G29" s="335"/>
      <c r="H29" s="260"/>
      <c r="I29" s="260"/>
      <c r="J29" s="260"/>
      <c r="K29" s="260"/>
      <c r="L29" s="291"/>
      <c r="M29" s="291"/>
      <c r="N29" s="291"/>
      <c r="O29" s="291"/>
      <c r="P29" s="291"/>
      <c r="Q29" s="291"/>
      <c r="R29" s="302"/>
      <c r="S29" s="302"/>
      <c r="T29" s="302"/>
      <c r="U29" s="302"/>
      <c r="V29" s="302"/>
      <c r="W29" s="302"/>
      <c r="X29" s="302"/>
      <c r="Y29" s="302"/>
      <c r="Z29" s="302"/>
      <c r="AA29" s="302"/>
      <c r="AB29" s="302"/>
      <c r="AC29" s="302"/>
      <c r="AD29" s="302"/>
    </row>
    <row r="30" spans="1:30" s="85" customFormat="1" ht="18.75" customHeight="1" x14ac:dyDescent="0.25">
      <c r="A30" s="404" t="s">
        <v>1048</v>
      </c>
      <c r="B30" s="405"/>
      <c r="C30" s="405"/>
      <c r="D30" s="405"/>
      <c r="E30" s="405"/>
      <c r="F30" s="405"/>
      <c r="G30" s="405"/>
      <c r="H30" s="258"/>
      <c r="I30" s="258"/>
      <c r="J30" s="258"/>
      <c r="K30" s="258"/>
      <c r="L30" s="294"/>
      <c r="M30" s="294"/>
      <c r="N30" s="294"/>
      <c r="O30" s="294"/>
      <c r="P30" s="294"/>
      <c r="Q30" s="294"/>
      <c r="R30" s="295"/>
      <c r="S30" s="295"/>
      <c r="T30" s="295"/>
      <c r="U30" s="295"/>
      <c r="V30" s="295"/>
      <c r="W30" s="295"/>
      <c r="X30" s="295"/>
      <c r="Y30" s="295"/>
      <c r="Z30" s="295"/>
      <c r="AA30" s="295"/>
      <c r="AB30" s="295"/>
      <c r="AC30" s="295"/>
      <c r="AD30" s="295"/>
    </row>
    <row r="31" spans="1:30" s="85" customFormat="1" ht="15" customHeight="1" x14ac:dyDescent="0.25">
      <c r="A31" s="182"/>
      <c r="B31" s="329" t="s">
        <v>126</v>
      </c>
      <c r="C31" s="334"/>
      <c r="D31" s="335"/>
      <c r="E31" s="335"/>
      <c r="F31" s="335"/>
      <c r="G31" s="338"/>
      <c r="H31" s="259"/>
      <c r="I31" s="259"/>
      <c r="J31" s="259"/>
      <c r="K31" s="259"/>
      <c r="L31" s="295"/>
      <c r="M31" s="295"/>
      <c r="N31" s="295"/>
      <c r="O31" s="295"/>
      <c r="P31" s="295"/>
      <c r="Q31" s="295"/>
      <c r="R31" s="295"/>
      <c r="S31" s="295"/>
      <c r="T31" s="295"/>
      <c r="U31" s="295"/>
      <c r="V31" s="295"/>
      <c r="W31" s="295"/>
      <c r="X31" s="295"/>
      <c r="Y31" s="295"/>
      <c r="Z31" s="295"/>
      <c r="AA31" s="295"/>
      <c r="AB31" s="295"/>
      <c r="AC31" s="295"/>
      <c r="AD31" s="295"/>
    </row>
    <row r="32" spans="1:30" s="85" customFormat="1" ht="15" customHeight="1" x14ac:dyDescent="0.25">
      <c r="A32" s="333" t="s">
        <v>1126</v>
      </c>
      <c r="B32" s="227" t="s">
        <v>1100</v>
      </c>
      <c r="C32" s="334">
        <v>30</v>
      </c>
      <c r="D32" s="335">
        <v>0.33</v>
      </c>
      <c r="E32" s="335">
        <v>7.0000000000000007E-2</v>
      </c>
      <c r="F32" s="335">
        <v>1</v>
      </c>
      <c r="G32" s="338">
        <v>5.7</v>
      </c>
      <c r="H32" s="206"/>
      <c r="I32" s="206"/>
      <c r="J32" s="206"/>
      <c r="K32" s="206"/>
      <c r="L32" s="296"/>
      <c r="M32" s="296"/>
      <c r="N32" s="296"/>
      <c r="O32" s="296"/>
      <c r="P32" s="296"/>
      <c r="Q32" s="294"/>
      <c r="R32" s="295"/>
      <c r="S32" s="295"/>
      <c r="T32" s="295"/>
      <c r="U32" s="295"/>
      <c r="V32" s="295"/>
      <c r="W32" s="295"/>
      <c r="X32" s="295"/>
      <c r="Y32" s="295"/>
      <c r="Z32" s="295"/>
      <c r="AA32" s="295"/>
      <c r="AB32" s="295"/>
      <c r="AC32" s="295"/>
      <c r="AD32" s="295"/>
    </row>
    <row r="33" spans="1:32" s="85" customFormat="1" ht="15" customHeight="1" x14ac:dyDescent="0.25">
      <c r="A33" s="333" t="s">
        <v>1068</v>
      </c>
      <c r="B33" s="336" t="s">
        <v>925</v>
      </c>
      <c r="C33" s="334">
        <v>180</v>
      </c>
      <c r="D33" s="362">
        <v>6.3</v>
      </c>
      <c r="E33" s="362">
        <v>9.3000000000000007</v>
      </c>
      <c r="F33" s="362">
        <v>25.6</v>
      </c>
      <c r="G33" s="387">
        <v>233.7</v>
      </c>
      <c r="H33" s="260"/>
      <c r="I33" s="260"/>
      <c r="J33" s="260"/>
      <c r="K33" s="260"/>
      <c r="L33" s="291"/>
      <c r="M33" s="291"/>
      <c r="N33" s="291"/>
      <c r="O33" s="291"/>
      <c r="P33" s="291"/>
      <c r="Q33" s="291"/>
      <c r="R33" s="295"/>
      <c r="S33" s="297"/>
      <c r="T33" s="37"/>
      <c r="U33" s="37"/>
      <c r="V33" s="37"/>
      <c r="W33" s="37"/>
      <c r="X33" s="297"/>
      <c r="Y33" s="297"/>
      <c r="Z33" s="37"/>
      <c r="AA33" s="37"/>
      <c r="AB33" s="37"/>
      <c r="AC33" s="37"/>
      <c r="AD33" s="303"/>
      <c r="AE33" s="299" t="s">
        <v>88</v>
      </c>
      <c r="AF33" s="63"/>
    </row>
    <row r="34" spans="1:32" s="320" customFormat="1" ht="15" customHeight="1" x14ac:dyDescent="0.25">
      <c r="A34" s="349" t="s">
        <v>1115</v>
      </c>
      <c r="B34" s="227" t="s">
        <v>160</v>
      </c>
      <c r="C34" s="334">
        <v>100</v>
      </c>
      <c r="D34" s="353">
        <v>5.61</v>
      </c>
      <c r="E34" s="353">
        <v>11.6</v>
      </c>
      <c r="F34" s="353">
        <v>5.84</v>
      </c>
      <c r="G34" s="360">
        <v>124</v>
      </c>
      <c r="H34" s="260"/>
      <c r="I34" s="260"/>
      <c r="J34" s="260"/>
      <c r="K34" s="260"/>
      <c r="L34" s="291"/>
      <c r="M34" s="291"/>
      <c r="N34" s="291"/>
      <c r="O34" s="291"/>
      <c r="P34" s="291"/>
      <c r="Q34" s="291"/>
      <c r="R34" s="295"/>
      <c r="S34" s="297"/>
      <c r="T34" s="37"/>
      <c r="U34" s="37"/>
      <c r="V34" s="37"/>
      <c r="W34" s="37"/>
      <c r="X34" s="297"/>
      <c r="Y34" s="297"/>
      <c r="Z34" s="37"/>
      <c r="AA34" s="37"/>
      <c r="AB34" s="37"/>
      <c r="AC34" s="37"/>
      <c r="AD34" s="303"/>
      <c r="AE34" s="299"/>
      <c r="AF34" s="319"/>
    </row>
    <row r="35" spans="1:32" ht="24.95" hidden="1" customHeight="1" x14ac:dyDescent="0.25">
      <c r="A35" s="333"/>
      <c r="B35" s="227"/>
      <c r="C35" s="334"/>
      <c r="D35" s="335"/>
      <c r="E35" s="335"/>
      <c r="F35" s="335"/>
      <c r="G35" s="338"/>
      <c r="H35" s="260"/>
      <c r="I35" s="260"/>
      <c r="J35" s="260"/>
      <c r="K35" s="260"/>
      <c r="L35" s="291"/>
      <c r="M35" s="291"/>
      <c r="N35" s="291"/>
      <c r="O35" s="291"/>
      <c r="P35" s="291"/>
      <c r="Q35" s="291"/>
      <c r="R35" s="302"/>
      <c r="S35" s="304"/>
      <c r="T35" s="286"/>
      <c r="U35" s="286"/>
      <c r="V35" s="286"/>
      <c r="W35" s="297"/>
      <c r="X35" s="297"/>
      <c r="Y35" s="298"/>
      <c r="Z35" s="37"/>
      <c r="AA35" s="37"/>
      <c r="AB35" s="286"/>
      <c r="AC35" s="286"/>
      <c r="AD35" s="305"/>
      <c r="AE35" s="300" t="e">
        <f>AB35*100/AB40</f>
        <v>#DIV/0!</v>
      </c>
    </row>
    <row r="36" spans="1:32" ht="15" customHeight="1" x14ac:dyDescent="0.25">
      <c r="A36" s="333" t="str">
        <f>VLOOKUP($B36, выпечка!$A$1:$R$52, 17, FALSE)</f>
        <v>ПР</v>
      </c>
      <c r="B36" s="336" t="s">
        <v>52</v>
      </c>
      <c r="C36" s="352">
        <v>50</v>
      </c>
      <c r="D36" s="353">
        <v>3.75</v>
      </c>
      <c r="E36" s="353">
        <v>0.38</v>
      </c>
      <c r="F36" s="353">
        <v>24.63</v>
      </c>
      <c r="G36" s="353">
        <v>117.25</v>
      </c>
      <c r="H36" s="260"/>
      <c r="I36" s="260"/>
      <c r="J36" s="260"/>
      <c r="K36" s="260"/>
      <c r="L36" s="291"/>
      <c r="M36" s="291"/>
      <c r="N36" s="291"/>
      <c r="O36" s="291"/>
      <c r="P36" s="291"/>
      <c r="Q36" s="291"/>
      <c r="R36" s="302"/>
      <c r="S36" s="306"/>
      <c r="T36" s="286"/>
      <c r="U36" s="286"/>
      <c r="V36" s="286"/>
      <c r="W36" s="286"/>
      <c r="X36" s="297"/>
      <c r="Y36" s="298"/>
      <c r="Z36" s="37"/>
      <c r="AA36" s="37"/>
      <c r="AB36" s="286"/>
      <c r="AC36" s="286"/>
      <c r="AD36" s="305"/>
      <c r="AE36" s="301" t="e">
        <f>AB36*100/AB40</f>
        <v>#DIV/0!</v>
      </c>
    </row>
    <row r="37" spans="1:32" ht="15" customHeight="1" x14ac:dyDescent="0.25">
      <c r="A37" s="333" t="str">
        <f>VLOOKUP($B37, выпечка!$A$1:$R$52, 17, FALSE)</f>
        <v>ПР</v>
      </c>
      <c r="B37" s="227" t="s">
        <v>1026</v>
      </c>
      <c r="C37" s="352">
        <v>30</v>
      </c>
      <c r="D37" s="353">
        <v>2.41</v>
      </c>
      <c r="E37" s="353">
        <v>0.37</v>
      </c>
      <c r="F37" s="353">
        <v>14.62</v>
      </c>
      <c r="G37" s="353">
        <v>72.33</v>
      </c>
      <c r="H37" s="260"/>
      <c r="I37" s="260"/>
      <c r="J37" s="260"/>
      <c r="K37" s="260"/>
      <c r="L37" s="291"/>
      <c r="M37" s="291"/>
      <c r="N37" s="291"/>
      <c r="O37" s="291"/>
      <c r="P37" s="291"/>
      <c r="Q37" s="291"/>
      <c r="R37" s="302"/>
      <c r="S37" s="307"/>
      <c r="T37" s="285"/>
      <c r="U37" s="285"/>
      <c r="V37" s="285"/>
      <c r="W37" s="285"/>
      <c r="X37" s="297"/>
      <c r="Y37" s="298"/>
      <c r="Z37" s="37"/>
      <c r="AA37" s="37"/>
      <c r="AB37" s="286"/>
      <c r="AC37" s="286"/>
      <c r="AD37" s="305"/>
      <c r="AE37" s="300"/>
    </row>
    <row r="38" spans="1:32" ht="15" customHeight="1" x14ac:dyDescent="0.25">
      <c r="A38" s="333" t="s">
        <v>31</v>
      </c>
      <c r="B38" s="227" t="s">
        <v>1125</v>
      </c>
      <c r="C38" s="334">
        <v>200</v>
      </c>
      <c r="D38" s="335">
        <v>1</v>
      </c>
      <c r="E38" s="335">
        <v>0.2</v>
      </c>
      <c r="F38" s="335">
        <v>0.6</v>
      </c>
      <c r="G38" s="338">
        <v>96.6</v>
      </c>
      <c r="H38" s="260"/>
      <c r="I38" s="260"/>
      <c r="J38" s="260"/>
      <c r="K38" s="260"/>
      <c r="L38" s="291"/>
      <c r="M38" s="291"/>
      <c r="N38" s="291"/>
      <c r="O38" s="291"/>
      <c r="P38" s="291"/>
      <c r="Q38" s="291"/>
      <c r="R38" s="302"/>
      <c r="S38" s="307"/>
      <c r="T38" s="285"/>
      <c r="U38" s="285"/>
      <c r="V38" s="285"/>
      <c r="W38" s="285"/>
      <c r="X38" s="297"/>
      <c r="Y38" s="298"/>
      <c r="Z38" s="37"/>
      <c r="AA38" s="37"/>
      <c r="AB38" s="286"/>
      <c r="AC38" s="286"/>
      <c r="AD38" s="305"/>
      <c r="AE38" s="300"/>
    </row>
    <row r="39" spans="1:32" ht="15" customHeight="1" x14ac:dyDescent="0.25">
      <c r="A39" s="333" t="s">
        <v>1038</v>
      </c>
      <c r="B39" s="227" t="s">
        <v>1037</v>
      </c>
      <c r="C39" s="334">
        <v>200</v>
      </c>
      <c r="D39" s="323">
        <v>0.2</v>
      </c>
      <c r="E39" s="323">
        <v>0</v>
      </c>
      <c r="F39" s="323">
        <v>6.5</v>
      </c>
      <c r="G39" s="323">
        <v>26.8</v>
      </c>
      <c r="H39" s="260"/>
      <c r="I39" s="260"/>
      <c r="J39" s="260"/>
      <c r="K39" s="260"/>
      <c r="L39" s="291"/>
      <c r="M39" s="291"/>
      <c r="N39" s="291"/>
      <c r="O39" s="291"/>
      <c r="P39" s="291"/>
      <c r="Q39" s="291"/>
      <c r="R39" s="302"/>
      <c r="S39" s="307"/>
      <c r="T39" s="285"/>
      <c r="U39" s="285"/>
      <c r="V39" s="285"/>
      <c r="W39" s="285"/>
      <c r="X39" s="297"/>
      <c r="Y39" s="298"/>
      <c r="Z39" s="37"/>
      <c r="AA39" s="37"/>
      <c r="AB39" s="286"/>
      <c r="AC39" s="286"/>
      <c r="AD39" s="305"/>
      <c r="AE39" s="300"/>
    </row>
    <row r="40" spans="1:32" ht="15" hidden="1" customHeight="1" x14ac:dyDescent="0.25">
      <c r="A40" s="333" t="s">
        <v>31</v>
      </c>
      <c r="B40" s="227"/>
      <c r="C40" s="334"/>
      <c r="D40" s="335"/>
      <c r="E40" s="335"/>
      <c r="F40" s="335"/>
      <c r="G40" s="338"/>
      <c r="H40" s="260"/>
      <c r="I40" s="260"/>
      <c r="J40" s="260"/>
      <c r="K40" s="260"/>
      <c r="L40" s="291"/>
      <c r="M40" s="291"/>
      <c r="N40" s="291"/>
      <c r="O40" s="291"/>
      <c r="P40" s="291"/>
      <c r="Q40" s="291"/>
      <c r="R40" s="302"/>
      <c r="S40" s="45"/>
      <c r="T40" s="272"/>
      <c r="U40" s="272"/>
      <c r="V40" s="272"/>
      <c r="W40" s="272"/>
      <c r="X40" s="297"/>
      <c r="Y40" s="298"/>
      <c r="Z40" s="37"/>
      <c r="AA40" s="37"/>
      <c r="AB40" s="286"/>
      <c r="AC40" s="286"/>
      <c r="AD40" s="305"/>
      <c r="AE40" s="300"/>
    </row>
    <row r="41" spans="1:32" ht="15" customHeight="1" x14ac:dyDescent="0.25">
      <c r="A41" s="324"/>
      <c r="B41" s="337" t="s">
        <v>100</v>
      </c>
      <c r="C41" s="325">
        <f>SUM(C32:C40)</f>
        <v>790</v>
      </c>
      <c r="D41" s="325">
        <f t="shared" ref="D41:G41" si="2">SUM(D32:D40)</f>
        <v>19.599999999999998</v>
      </c>
      <c r="E41" s="325">
        <f t="shared" si="2"/>
        <v>21.919999999999998</v>
      </c>
      <c r="F41" s="325">
        <f t="shared" si="2"/>
        <v>78.789999999999992</v>
      </c>
      <c r="G41" s="325">
        <f t="shared" si="2"/>
        <v>676.38</v>
      </c>
      <c r="H41" s="260"/>
      <c r="I41" s="260"/>
      <c r="J41" s="260"/>
      <c r="K41" s="260"/>
      <c r="L41" s="291"/>
      <c r="M41" s="291"/>
      <c r="N41" s="291"/>
      <c r="O41" s="291"/>
      <c r="P41" s="291"/>
      <c r="Q41" s="291"/>
      <c r="R41" s="302"/>
      <c r="S41" s="302"/>
      <c r="T41" s="302"/>
      <c r="U41" s="302"/>
      <c r="V41" s="302"/>
      <c r="W41" s="302"/>
      <c r="X41" s="302"/>
      <c r="Y41" s="302"/>
      <c r="Z41" s="302"/>
      <c r="AA41" s="302"/>
      <c r="AB41" s="302"/>
      <c r="AC41" s="302"/>
      <c r="AD41" s="302"/>
    </row>
    <row r="42" spans="1:32" ht="15" customHeight="1" x14ac:dyDescent="0.25">
      <c r="A42" s="324"/>
      <c r="B42" s="329" t="s">
        <v>127</v>
      </c>
      <c r="C42" s="324"/>
      <c r="D42" s="324"/>
      <c r="E42" s="324"/>
      <c r="F42" s="324"/>
      <c r="G42" s="340"/>
      <c r="H42" s="260"/>
      <c r="I42" s="260"/>
      <c r="J42" s="260"/>
      <c r="K42" s="260"/>
      <c r="L42" s="260"/>
      <c r="M42" s="260"/>
      <c r="N42" s="260"/>
      <c r="O42" s="289"/>
      <c r="P42" s="40"/>
      <c r="Q42" s="261"/>
    </row>
    <row r="43" spans="1:32" ht="15" customHeight="1" x14ac:dyDescent="0.25">
      <c r="A43" s="333" t="s">
        <v>1175</v>
      </c>
      <c r="B43" s="350" t="s">
        <v>1099</v>
      </c>
      <c r="C43" s="323">
        <v>100</v>
      </c>
      <c r="D43" s="335">
        <v>0.7</v>
      </c>
      <c r="E43" s="335">
        <v>0.1</v>
      </c>
      <c r="F43" s="335">
        <v>2.2999999999999998</v>
      </c>
      <c r="G43" s="338">
        <v>12.8</v>
      </c>
      <c r="H43" s="261"/>
      <c r="I43" s="261"/>
      <c r="J43" s="261"/>
      <c r="K43" s="261"/>
      <c r="L43" s="261"/>
      <c r="M43" s="261"/>
      <c r="N43" s="261"/>
      <c r="O43" s="289"/>
      <c r="P43" s="40"/>
      <c r="Q43" s="261"/>
    </row>
    <row r="44" spans="1:32" ht="15" customHeight="1" x14ac:dyDescent="0.25">
      <c r="A44" s="346" t="s">
        <v>1121</v>
      </c>
      <c r="B44" s="227" t="s">
        <v>1130</v>
      </c>
      <c r="C44" s="334">
        <v>250</v>
      </c>
      <c r="D44" s="335">
        <v>4.7699999999999996</v>
      </c>
      <c r="E44" s="335">
        <v>6.95</v>
      </c>
      <c r="F44" s="335">
        <v>3.9</v>
      </c>
      <c r="G44" s="338">
        <v>129.75</v>
      </c>
      <c r="H44" s="282"/>
      <c r="I44" s="282"/>
      <c r="J44" s="282"/>
      <c r="K44" s="282"/>
      <c r="L44" s="282"/>
      <c r="M44" s="282"/>
      <c r="N44" s="282"/>
      <c r="O44" s="290"/>
      <c r="P44" s="106"/>
      <c r="Q44" s="257"/>
    </row>
    <row r="45" spans="1:32" ht="24.95" hidden="1" customHeight="1" x14ac:dyDescent="0.25">
      <c r="A45" s="333"/>
      <c r="B45" s="336"/>
      <c r="C45" s="334"/>
      <c r="D45" s="335"/>
      <c r="E45" s="335"/>
      <c r="F45" s="335"/>
      <c r="G45" s="338"/>
      <c r="H45" s="260"/>
      <c r="I45" s="260"/>
      <c r="J45" s="260"/>
      <c r="K45" s="260"/>
      <c r="L45" s="260"/>
      <c r="M45" s="260"/>
      <c r="N45" s="260"/>
      <c r="O45" s="288">
        <f>VLOOKUP($B43,салаты!$A$1:$R$82, 16, FALSE)</f>
        <v>0.54</v>
      </c>
      <c r="P45" s="87"/>
      <c r="Q45" s="260"/>
    </row>
    <row r="46" spans="1:32" ht="24.95" customHeight="1" x14ac:dyDescent="0.25">
      <c r="A46" s="333" t="s">
        <v>1164</v>
      </c>
      <c r="B46" s="336" t="s">
        <v>1066</v>
      </c>
      <c r="C46" s="334">
        <v>250</v>
      </c>
      <c r="D46" s="335">
        <v>9.9</v>
      </c>
      <c r="E46" s="335">
        <v>10.7</v>
      </c>
      <c r="F46" s="335">
        <v>31.4</v>
      </c>
      <c r="G46" s="338">
        <v>486.4</v>
      </c>
      <c r="H46" s="260"/>
      <c r="I46" s="260"/>
      <c r="J46" s="260"/>
      <c r="K46" s="260"/>
      <c r="L46" s="260"/>
      <c r="M46" s="260"/>
      <c r="N46" s="260"/>
      <c r="O46" s="288"/>
      <c r="P46" s="87"/>
      <c r="Q46" s="260"/>
    </row>
    <row r="47" spans="1:32" ht="15" customHeight="1" x14ac:dyDescent="0.25">
      <c r="A47" s="333" t="str">
        <f>VLOOKUP($B47, выпечка!$A$1:$R$52, 17, FALSE)</f>
        <v>ПР</v>
      </c>
      <c r="B47" s="336" t="s">
        <v>52</v>
      </c>
      <c r="C47" s="352">
        <v>60</v>
      </c>
      <c r="D47" s="353">
        <v>4.5999999999999996</v>
      </c>
      <c r="E47" s="353">
        <v>0.5</v>
      </c>
      <c r="F47" s="353">
        <v>29.5</v>
      </c>
      <c r="G47" s="353">
        <v>140.6</v>
      </c>
      <c r="H47" s="260"/>
      <c r="I47" s="260"/>
      <c r="J47" s="260"/>
      <c r="K47" s="260"/>
      <c r="L47" s="260"/>
      <c r="M47" s="260"/>
      <c r="N47" s="260"/>
      <c r="O47" s="288" t="e">
        <f>VLOOKUP($B45, каши!$A$1:$R$40, 16, FALSE)</f>
        <v>#N/A</v>
      </c>
      <c r="P47" s="87"/>
      <c r="Q47" s="260"/>
    </row>
    <row r="48" spans="1:32" ht="15" customHeight="1" x14ac:dyDescent="0.25">
      <c r="A48" s="333" t="str">
        <f>VLOOKUP($B48, выпечка!$A$1:$R$52, 17, FALSE)</f>
        <v>ПР</v>
      </c>
      <c r="B48" s="227" t="s">
        <v>53</v>
      </c>
      <c r="C48" s="352">
        <v>40</v>
      </c>
      <c r="D48" s="353">
        <v>2.67</v>
      </c>
      <c r="E48" s="353">
        <v>0.53</v>
      </c>
      <c r="F48" s="353">
        <v>13.33</v>
      </c>
      <c r="G48" s="353">
        <f>VLOOKUP($B48, [3]выпечка!$A$1:$R$52, 8, FALSE)</f>
        <v>45.98</v>
      </c>
      <c r="H48" s="260"/>
      <c r="I48" s="260"/>
      <c r="J48" s="260"/>
      <c r="K48" s="260"/>
      <c r="L48" s="260"/>
      <c r="M48" s="260"/>
      <c r="N48" s="260"/>
      <c r="O48" s="288" t="e">
        <f>VLOOKUP(#REF!, мясо!$A$1:$R$54, 16, FALSE)</f>
        <v>#REF!</v>
      </c>
      <c r="P48" s="87"/>
      <c r="Q48" s="260"/>
    </row>
    <row r="49" spans="1:32" ht="15" customHeight="1" x14ac:dyDescent="0.25">
      <c r="A49" s="346" t="s">
        <v>1160</v>
      </c>
      <c r="B49" s="227" t="s">
        <v>55</v>
      </c>
      <c r="C49" s="334">
        <v>200</v>
      </c>
      <c r="D49" s="335">
        <v>0.5</v>
      </c>
      <c r="E49" s="335">
        <v>0</v>
      </c>
      <c r="F49" s="335">
        <v>19.8</v>
      </c>
      <c r="G49" s="335">
        <v>81</v>
      </c>
      <c r="H49" s="260"/>
      <c r="I49" s="260"/>
      <c r="J49" s="260"/>
      <c r="K49" s="260"/>
      <c r="L49" s="260"/>
      <c r="M49" s="260"/>
      <c r="N49" s="260"/>
      <c r="O49" s="288">
        <f>VLOOKUP($B47, выпечка!$A$1:$R$52, 16, FALSE)</f>
        <v>0.55000000000000004</v>
      </c>
      <c r="P49" s="87"/>
      <c r="Q49" s="260"/>
    </row>
    <row r="50" spans="1:32" ht="15" customHeight="1" x14ac:dyDescent="0.25">
      <c r="A50" s="346"/>
      <c r="B50" s="337" t="s">
        <v>100</v>
      </c>
      <c r="C50" s="380">
        <f>C49+C48+C47+C46+C45+C44+C43</f>
        <v>900</v>
      </c>
      <c r="D50" s="325">
        <f>D49+D48+D47+D46+D45+D44+D43</f>
        <v>23.14</v>
      </c>
      <c r="E50" s="325">
        <f t="shared" ref="E50" si="3">E48+E47+E46+E45+E44+E43+E42</f>
        <v>18.78</v>
      </c>
      <c r="F50" s="325">
        <f>F49+F48+F47+F46+F45+F44+F43</f>
        <v>100.23</v>
      </c>
      <c r="G50" s="325">
        <f>G49+G48+G47+G46+G45+G44+G43</f>
        <v>896.53</v>
      </c>
      <c r="H50" s="260"/>
      <c r="I50" s="260"/>
      <c r="J50" s="260"/>
      <c r="K50" s="260"/>
      <c r="L50" s="260"/>
      <c r="M50" s="260"/>
      <c r="N50" s="260"/>
      <c r="O50" s="288"/>
      <c r="P50" s="87"/>
      <c r="Q50" s="260"/>
    </row>
    <row r="51" spans="1:32" ht="15" customHeight="1" x14ac:dyDescent="0.25">
      <c r="A51" s="333"/>
      <c r="B51" s="337" t="s">
        <v>100</v>
      </c>
      <c r="C51" s="380"/>
      <c r="D51" s="325">
        <f>D50+D41</f>
        <v>42.739999999999995</v>
      </c>
      <c r="E51" s="325">
        <f t="shared" ref="E51:G51" si="4">E50+E41</f>
        <v>40.700000000000003</v>
      </c>
      <c r="F51" s="325">
        <f t="shared" si="4"/>
        <v>179.01999999999998</v>
      </c>
      <c r="G51" s="325">
        <f t="shared" si="4"/>
        <v>1572.9099999999999</v>
      </c>
      <c r="H51" s="260"/>
      <c r="I51" s="260"/>
      <c r="J51" s="260"/>
      <c r="K51" s="260"/>
      <c r="L51" s="260"/>
      <c r="M51" s="260"/>
      <c r="N51" s="260"/>
      <c r="O51" s="288"/>
      <c r="P51" s="87"/>
      <c r="Q51" s="260"/>
    </row>
    <row r="52" spans="1:32" s="85" customFormat="1" ht="24" customHeight="1" x14ac:dyDescent="0.25">
      <c r="A52" s="404" t="s">
        <v>1049</v>
      </c>
      <c r="B52" s="405"/>
      <c r="C52" s="405"/>
      <c r="D52" s="405"/>
      <c r="E52" s="405"/>
      <c r="F52" s="405"/>
      <c r="G52" s="405"/>
      <c r="H52" s="258"/>
      <c r="I52" s="258"/>
      <c r="J52" s="258"/>
      <c r="K52" s="258"/>
      <c r="L52" s="258"/>
      <c r="M52" s="258"/>
      <c r="N52" s="258"/>
      <c r="O52" s="258"/>
      <c r="P52" s="258"/>
      <c r="Q52" s="258"/>
    </row>
    <row r="53" spans="1:32" s="85" customFormat="1" ht="15" customHeight="1" x14ac:dyDescent="0.25">
      <c r="A53" s="182"/>
      <c r="B53" s="329" t="s">
        <v>126</v>
      </c>
      <c r="C53" s="334"/>
      <c r="D53" s="335"/>
      <c r="E53" s="335"/>
      <c r="F53" s="335"/>
      <c r="G53" s="338"/>
      <c r="H53" s="259"/>
      <c r="I53" s="259"/>
      <c r="J53" s="259"/>
      <c r="K53" s="259"/>
      <c r="L53" s="259"/>
      <c r="M53" s="259"/>
      <c r="N53" s="259"/>
      <c r="O53" s="259"/>
      <c r="P53" s="259"/>
      <c r="Q53" s="259"/>
    </row>
    <row r="54" spans="1:32" s="328" customFormat="1" ht="15" customHeight="1" x14ac:dyDescent="0.25">
      <c r="A54" s="349" t="s">
        <v>1092</v>
      </c>
      <c r="B54" s="350" t="s">
        <v>26</v>
      </c>
      <c r="C54" s="352">
        <v>20</v>
      </c>
      <c r="D54" s="322">
        <v>0.1</v>
      </c>
      <c r="E54" s="322">
        <v>7.2</v>
      </c>
      <c r="F54" s="322">
        <v>0.1</v>
      </c>
      <c r="G54" s="322">
        <v>66.099999999999994</v>
      </c>
      <c r="H54" s="259"/>
      <c r="I54" s="259"/>
      <c r="J54" s="259"/>
      <c r="K54" s="259"/>
      <c r="L54" s="259"/>
      <c r="M54" s="259"/>
      <c r="N54" s="259"/>
      <c r="O54" s="259"/>
      <c r="P54" s="259"/>
      <c r="Q54" s="259"/>
    </row>
    <row r="55" spans="1:32" s="85" customFormat="1" ht="15" hidden="1" customHeight="1" x14ac:dyDescent="0.25">
      <c r="A55" s="333"/>
      <c r="B55" s="336"/>
      <c r="C55" s="334"/>
      <c r="D55" s="335"/>
      <c r="E55" s="335"/>
      <c r="F55" s="335"/>
      <c r="G55" s="338"/>
      <c r="H55" s="258"/>
      <c r="I55" s="258"/>
      <c r="J55" s="258"/>
      <c r="K55" s="258"/>
      <c r="L55" s="258"/>
      <c r="M55" s="258"/>
      <c r="N55" s="258"/>
      <c r="O55" s="258"/>
      <c r="P55" s="258"/>
      <c r="Q55" s="258"/>
      <c r="S55" s="295"/>
      <c r="T55" s="295"/>
      <c r="U55" s="295"/>
      <c r="V55" s="295"/>
      <c r="W55" s="295"/>
    </row>
    <row r="56" spans="1:32" s="85" customFormat="1" ht="15" customHeight="1" x14ac:dyDescent="0.25">
      <c r="A56" s="346" t="s">
        <v>1123</v>
      </c>
      <c r="B56" s="355" t="s">
        <v>1101</v>
      </c>
      <c r="C56" s="356">
        <v>200</v>
      </c>
      <c r="D56" s="357">
        <v>7.9</v>
      </c>
      <c r="E56" s="357">
        <v>6.8</v>
      </c>
      <c r="F56" s="357">
        <v>18.600000000000001</v>
      </c>
      <c r="G56" s="358">
        <v>207.7</v>
      </c>
      <c r="H56" s="260"/>
      <c r="I56" s="260"/>
      <c r="J56" s="260"/>
      <c r="K56" s="260"/>
      <c r="L56" s="260"/>
      <c r="M56" s="260"/>
      <c r="N56" s="260"/>
      <c r="O56" s="260"/>
      <c r="P56" s="260"/>
      <c r="Q56" s="260"/>
      <c r="S56" s="297"/>
      <c r="T56" s="37"/>
      <c r="U56" s="37"/>
      <c r="V56" s="37"/>
      <c r="W56" s="37"/>
      <c r="X56" s="34"/>
      <c r="Y56" s="36"/>
      <c r="Z56" s="108" t="s">
        <v>84</v>
      </c>
      <c r="AA56" s="108" t="s">
        <v>85</v>
      </c>
      <c r="AB56" s="108" t="s">
        <v>86</v>
      </c>
      <c r="AC56" s="108" t="s">
        <v>84</v>
      </c>
      <c r="AD56" s="55" t="s">
        <v>87</v>
      </c>
      <c r="AE56" s="55" t="s">
        <v>88</v>
      </c>
      <c r="AF56" s="63"/>
    </row>
    <row r="57" spans="1:32" ht="15" hidden="1" customHeight="1" x14ac:dyDescent="0.25">
      <c r="A57" s="333" t="s">
        <v>1057</v>
      </c>
      <c r="B57" s="336" t="s">
        <v>163</v>
      </c>
      <c r="C57" s="334">
        <v>150</v>
      </c>
      <c r="D57" s="335">
        <v>3.7</v>
      </c>
      <c r="E57" s="335">
        <v>4.8</v>
      </c>
      <c r="F57" s="335">
        <v>36.5</v>
      </c>
      <c r="G57" s="338">
        <v>203.5</v>
      </c>
      <c r="H57" s="260"/>
      <c r="I57" s="260"/>
      <c r="J57" s="260"/>
      <c r="K57" s="260"/>
      <c r="L57" s="260"/>
      <c r="M57" s="260"/>
      <c r="N57" s="260"/>
      <c r="O57" s="260"/>
      <c r="P57" s="260"/>
      <c r="Q57" s="260"/>
      <c r="S57" s="304"/>
      <c r="T57" s="286"/>
      <c r="U57" s="286"/>
      <c r="V57" s="286"/>
      <c r="W57" s="297"/>
      <c r="X57" s="34"/>
      <c r="Y57" s="109" t="s">
        <v>68</v>
      </c>
      <c r="Z57" s="108">
        <v>25</v>
      </c>
      <c r="AA57" s="108" t="e">
        <f>VLOOKUP($S57,нормы!A14:F15, 2, FALSE)</f>
        <v>#N/A</v>
      </c>
      <c r="AB57" s="41" t="e">
        <f>#REF!+#REF!</f>
        <v>#REF!</v>
      </c>
      <c r="AC57" s="41" t="e">
        <f>AB57*100/AA57</f>
        <v>#REF!</v>
      </c>
      <c r="AD57" s="110" t="e">
        <f>AC57-100</f>
        <v>#REF!</v>
      </c>
      <c r="AE57" s="41" t="e">
        <f>AB57*100/AB63</f>
        <v>#REF!</v>
      </c>
    </row>
    <row r="58" spans="1:32" ht="15" customHeight="1" x14ac:dyDescent="0.25">
      <c r="A58" s="324" t="s">
        <v>31</v>
      </c>
      <c r="B58" s="227" t="s">
        <v>909</v>
      </c>
      <c r="C58" s="352">
        <v>95</v>
      </c>
      <c r="D58" s="322">
        <v>2.6</v>
      </c>
      <c r="E58" s="322">
        <v>2.37</v>
      </c>
      <c r="F58" s="322">
        <v>11</v>
      </c>
      <c r="G58" s="322">
        <v>86</v>
      </c>
      <c r="H58" s="260"/>
      <c r="I58" s="260"/>
      <c r="J58" s="260"/>
      <c r="K58" s="260"/>
      <c r="L58" s="260"/>
      <c r="M58" s="260"/>
      <c r="N58" s="260"/>
      <c r="O58" s="260"/>
      <c r="P58" s="260"/>
      <c r="Q58" s="260"/>
      <c r="S58" s="304"/>
      <c r="T58" s="286"/>
      <c r="U58" s="286"/>
      <c r="V58" s="286"/>
      <c r="W58" s="297"/>
      <c r="X58" s="403"/>
      <c r="Y58" s="109"/>
      <c r="Z58" s="402"/>
      <c r="AA58" s="402"/>
      <c r="AB58" s="41"/>
      <c r="AC58" s="41"/>
      <c r="AD58" s="110"/>
      <c r="AE58" s="41"/>
    </row>
    <row r="59" spans="1:32" ht="24.95" customHeight="1" x14ac:dyDescent="0.25">
      <c r="A59" s="333" t="s">
        <v>31</v>
      </c>
      <c r="B59" s="336" t="s">
        <v>1032</v>
      </c>
      <c r="C59" s="334">
        <v>100</v>
      </c>
      <c r="D59" s="335">
        <v>0.52</v>
      </c>
      <c r="E59" s="335">
        <v>0.52</v>
      </c>
      <c r="F59" s="335">
        <v>12.74</v>
      </c>
      <c r="G59" s="338">
        <v>61.1</v>
      </c>
      <c r="H59" s="260"/>
      <c r="I59" s="260"/>
      <c r="J59" s="260"/>
      <c r="K59" s="260"/>
      <c r="L59" s="260"/>
      <c r="M59" s="260"/>
      <c r="N59" s="260"/>
      <c r="O59" s="260"/>
      <c r="P59" s="260"/>
      <c r="Q59" s="260"/>
      <c r="S59" s="306"/>
      <c r="T59" s="286"/>
      <c r="U59" s="286"/>
      <c r="V59" s="286"/>
      <c r="W59" s="286"/>
      <c r="X59" s="34"/>
      <c r="Y59" s="109" t="s">
        <v>69</v>
      </c>
      <c r="Z59" s="108">
        <v>35</v>
      </c>
      <c r="AA59" s="108" t="e">
        <f>VLOOKUP($S57,нормы!A14:F15, 3, FALSE)</f>
        <v>#N/A</v>
      </c>
      <c r="AB59" s="41" t="e">
        <f>#REF!</f>
        <v>#REF!</v>
      </c>
      <c r="AC59" s="41" t="e">
        <f>AB59*100/AA59</f>
        <v>#REF!</v>
      </c>
      <c r="AD59" s="110" t="e">
        <f>AC59-100</f>
        <v>#REF!</v>
      </c>
      <c r="AE59" s="42" t="e">
        <f>AB59*100/AB63</f>
        <v>#REF!</v>
      </c>
    </row>
    <row r="60" spans="1:32" ht="24.95" hidden="1" customHeight="1" x14ac:dyDescent="0.25">
      <c r="A60" s="349"/>
      <c r="B60" s="350"/>
      <c r="C60" s="352"/>
      <c r="D60" s="322"/>
      <c r="E60" s="322"/>
      <c r="F60" s="322"/>
      <c r="G60" s="322"/>
      <c r="H60" s="260"/>
      <c r="I60" s="260"/>
      <c r="J60" s="260"/>
      <c r="K60" s="260"/>
      <c r="L60" s="260"/>
      <c r="M60" s="260"/>
      <c r="N60" s="260"/>
      <c r="O60" s="260"/>
      <c r="P60" s="260"/>
      <c r="Q60" s="260"/>
      <c r="S60" s="306"/>
      <c r="T60" s="286"/>
      <c r="U60" s="286"/>
      <c r="V60" s="286"/>
      <c r="W60" s="286"/>
      <c r="X60" s="372"/>
      <c r="Y60" s="109"/>
      <c r="Z60" s="371"/>
      <c r="AA60" s="371"/>
      <c r="AB60" s="41"/>
      <c r="AC60" s="41"/>
      <c r="AD60" s="110"/>
      <c r="AE60" s="42"/>
    </row>
    <row r="61" spans="1:32" ht="24.95" hidden="1" customHeight="1" x14ac:dyDescent="0.25">
      <c r="A61" s="349"/>
      <c r="B61" s="227"/>
      <c r="C61" s="323"/>
      <c r="D61" s="353"/>
      <c r="E61" s="353"/>
      <c r="F61" s="353"/>
      <c r="G61" s="353"/>
      <c r="H61" s="260"/>
      <c r="I61" s="260"/>
      <c r="J61" s="260"/>
      <c r="K61" s="260"/>
      <c r="L61" s="260"/>
      <c r="M61" s="260"/>
      <c r="N61" s="260"/>
      <c r="O61" s="260"/>
      <c r="P61" s="260"/>
      <c r="Q61" s="260"/>
      <c r="S61" s="306"/>
      <c r="T61" s="286"/>
      <c r="U61" s="286"/>
      <c r="V61" s="286"/>
      <c r="W61" s="286"/>
      <c r="X61" s="383"/>
      <c r="Y61" s="109"/>
      <c r="Z61" s="382"/>
      <c r="AA61" s="382"/>
      <c r="AB61" s="41"/>
      <c r="AC61" s="41"/>
      <c r="AD61" s="110"/>
      <c r="AE61" s="42"/>
    </row>
    <row r="62" spans="1:32" ht="24.95" customHeight="1" x14ac:dyDescent="0.25">
      <c r="A62" s="333" t="str">
        <f>VLOOKUP($B62, выпечка!$A$1:$R$52, 17, FALSE)</f>
        <v>ПР</v>
      </c>
      <c r="B62" s="336" t="s">
        <v>52</v>
      </c>
      <c r="C62" s="352">
        <v>50</v>
      </c>
      <c r="D62" s="353">
        <v>3.75</v>
      </c>
      <c r="E62" s="353">
        <v>0.38</v>
      </c>
      <c r="F62" s="353">
        <v>24.63</v>
      </c>
      <c r="G62" s="353">
        <v>117.25</v>
      </c>
      <c r="H62" s="260"/>
      <c r="I62" s="260"/>
      <c r="J62" s="260"/>
      <c r="K62" s="260"/>
      <c r="L62" s="260"/>
      <c r="M62" s="260"/>
      <c r="N62" s="260"/>
      <c r="O62" s="260"/>
      <c r="P62" s="260"/>
      <c r="Q62" s="260"/>
      <c r="S62" s="307"/>
      <c r="T62" s="285"/>
      <c r="U62" s="285"/>
      <c r="V62" s="285"/>
      <c r="W62" s="285"/>
      <c r="X62" s="34"/>
      <c r="Y62" s="109"/>
      <c r="Z62" s="108"/>
      <c r="AA62" s="108"/>
      <c r="AB62" s="41"/>
      <c r="AC62" s="41"/>
      <c r="AD62" s="110"/>
      <c r="AE62" s="41"/>
    </row>
    <row r="63" spans="1:32" ht="15" customHeight="1" x14ac:dyDescent="0.25">
      <c r="A63" s="333" t="str">
        <f>VLOOKUP($B63, выпечка!$A$1:$R$52, 17, FALSE)</f>
        <v>ПР</v>
      </c>
      <c r="B63" s="227" t="s">
        <v>1026</v>
      </c>
      <c r="C63" s="352">
        <v>30</v>
      </c>
      <c r="D63" s="353">
        <v>2.41</v>
      </c>
      <c r="E63" s="353">
        <v>0.37</v>
      </c>
      <c r="F63" s="353">
        <v>14.62</v>
      </c>
      <c r="G63" s="353">
        <v>72.33</v>
      </c>
      <c r="H63" s="260"/>
      <c r="I63" s="260"/>
      <c r="J63" s="260"/>
      <c r="K63" s="260"/>
      <c r="L63" s="260"/>
      <c r="M63" s="260"/>
      <c r="N63" s="260"/>
      <c r="O63" s="260"/>
      <c r="P63" s="260"/>
      <c r="Q63" s="260"/>
      <c r="S63" s="45"/>
      <c r="T63" s="272"/>
      <c r="U63" s="272"/>
      <c r="V63" s="272"/>
      <c r="W63" s="272"/>
      <c r="X63" s="34"/>
      <c r="Y63" s="109" t="s">
        <v>173</v>
      </c>
      <c r="Z63" s="108">
        <f>SUM(Z56:Z62)</f>
        <v>60</v>
      </c>
      <c r="AA63" s="108" t="e">
        <f>SUM(AA57:AA62)</f>
        <v>#N/A</v>
      </c>
      <c r="AB63" s="41">
        <f>G77</f>
        <v>1709.71</v>
      </c>
      <c r="AC63" s="41" t="e">
        <f>AB63*100/AA63</f>
        <v>#N/A</v>
      </c>
      <c r="AD63" s="110" t="e">
        <f>AC63-100</f>
        <v>#N/A</v>
      </c>
      <c r="AE63" s="41"/>
    </row>
    <row r="64" spans="1:32" ht="15" customHeight="1" x14ac:dyDescent="0.25">
      <c r="A64" s="333" t="s">
        <v>1161</v>
      </c>
      <c r="B64" s="227" t="s">
        <v>161</v>
      </c>
      <c r="C64" s="334">
        <v>200</v>
      </c>
      <c r="D64" s="322">
        <v>3.8</v>
      </c>
      <c r="E64" s="322">
        <v>2.9</v>
      </c>
      <c r="F64" s="322">
        <v>11.3</v>
      </c>
      <c r="G64" s="322">
        <v>86</v>
      </c>
      <c r="H64" s="260"/>
      <c r="I64" s="260"/>
      <c r="J64" s="260"/>
      <c r="K64" s="260"/>
      <c r="L64" s="260"/>
      <c r="M64" s="260"/>
      <c r="N64" s="260"/>
      <c r="O64" s="260"/>
      <c r="P64" s="260"/>
      <c r="Q64" s="260"/>
      <c r="S64" s="302"/>
      <c r="T64" s="302"/>
      <c r="U64" s="302"/>
      <c r="V64" s="302"/>
      <c r="W64" s="302"/>
    </row>
    <row r="65" spans="1:32" ht="15" customHeight="1" x14ac:dyDescent="0.25">
      <c r="A65" s="324"/>
      <c r="B65" s="337" t="s">
        <v>100</v>
      </c>
      <c r="C65" s="380">
        <f>C64+C63+C62+C61+C59+C58+C56+C54</f>
        <v>695</v>
      </c>
      <c r="D65" s="325">
        <f t="shared" ref="D65:G65" si="5">D64+D63+D62+D61+D59+D58+D56+D54</f>
        <v>21.080000000000002</v>
      </c>
      <c r="E65" s="325">
        <f t="shared" si="5"/>
        <v>20.54</v>
      </c>
      <c r="F65" s="325">
        <f t="shared" si="5"/>
        <v>92.989999999999981</v>
      </c>
      <c r="G65" s="325">
        <f t="shared" si="5"/>
        <v>696.48</v>
      </c>
      <c r="H65" s="260"/>
      <c r="I65" s="260"/>
      <c r="J65" s="260"/>
      <c r="K65" s="260"/>
      <c r="L65" s="260"/>
      <c r="M65" s="260"/>
      <c r="N65" s="260"/>
      <c r="O65" s="261"/>
      <c r="P65" s="261"/>
      <c r="Q65" s="261"/>
      <c r="S65" s="302"/>
      <c r="T65" s="302"/>
      <c r="U65" s="302"/>
      <c r="V65" s="302"/>
      <c r="W65" s="302"/>
    </row>
    <row r="66" spans="1:32" ht="15" customHeight="1" x14ac:dyDescent="0.25">
      <c r="A66" s="324"/>
      <c r="B66" s="329" t="s">
        <v>127</v>
      </c>
      <c r="C66" s="324"/>
      <c r="D66" s="324"/>
      <c r="E66" s="324"/>
      <c r="F66" s="324"/>
      <c r="G66" s="340"/>
      <c r="H66" s="260"/>
      <c r="I66" s="260"/>
      <c r="J66" s="260"/>
      <c r="K66" s="260"/>
      <c r="L66" s="260"/>
      <c r="M66" s="260"/>
      <c r="N66" s="260"/>
      <c r="O66" s="260"/>
      <c r="P66" s="260"/>
      <c r="Q66" s="260"/>
      <c r="S66" s="302"/>
      <c r="T66" s="302"/>
      <c r="U66" s="302"/>
      <c r="V66" s="302"/>
      <c r="W66" s="302"/>
    </row>
    <row r="67" spans="1:32" ht="15" customHeight="1" x14ac:dyDescent="0.25">
      <c r="A67" s="333" t="s">
        <v>1142</v>
      </c>
      <c r="B67" s="227" t="s">
        <v>147</v>
      </c>
      <c r="C67" s="334">
        <v>100</v>
      </c>
      <c r="D67" s="335">
        <v>1.33</v>
      </c>
      <c r="E67" s="335">
        <v>4.5</v>
      </c>
      <c r="F67" s="335">
        <v>4.5999999999999996</v>
      </c>
      <c r="G67" s="338">
        <v>76</v>
      </c>
      <c r="H67" s="260"/>
      <c r="I67" s="260"/>
      <c r="J67" s="260"/>
      <c r="K67" s="260"/>
      <c r="L67" s="260"/>
      <c r="M67" s="260"/>
      <c r="N67" s="260"/>
      <c r="O67" s="260"/>
      <c r="P67" s="260"/>
      <c r="Q67" s="260"/>
      <c r="S67" s="302"/>
      <c r="T67" s="302"/>
      <c r="U67" s="302"/>
      <c r="V67" s="302"/>
      <c r="W67" s="302"/>
    </row>
    <row r="68" spans="1:32" ht="15" customHeight="1" x14ac:dyDescent="0.25">
      <c r="A68" s="333" t="s">
        <v>1133</v>
      </c>
      <c r="B68" s="336" t="s">
        <v>46</v>
      </c>
      <c r="C68" s="334">
        <v>250</v>
      </c>
      <c r="D68" s="335">
        <v>4.6900000000000004</v>
      </c>
      <c r="E68" s="322">
        <v>6.84</v>
      </c>
      <c r="F68" s="322">
        <v>17.46</v>
      </c>
      <c r="G68" s="322">
        <v>118.25</v>
      </c>
      <c r="H68" s="260"/>
      <c r="I68" s="260"/>
      <c r="J68" s="260"/>
      <c r="K68" s="260"/>
      <c r="L68" s="260"/>
      <c r="M68" s="260"/>
      <c r="N68" s="260"/>
      <c r="O68" s="260"/>
      <c r="P68" s="260"/>
      <c r="Q68" s="260"/>
      <c r="S68" s="302"/>
      <c r="T68" s="302"/>
      <c r="U68" s="302"/>
      <c r="V68" s="302"/>
      <c r="W68" s="302"/>
    </row>
    <row r="69" spans="1:32" ht="15" hidden="1" customHeight="1" x14ac:dyDescent="0.25">
      <c r="A69" s="333"/>
      <c r="B69" s="227"/>
      <c r="C69" s="334"/>
      <c r="D69" s="335"/>
      <c r="E69" s="335"/>
      <c r="F69" s="335"/>
      <c r="G69" s="338"/>
      <c r="H69" s="260"/>
      <c r="I69" s="260"/>
      <c r="J69" s="260"/>
      <c r="K69" s="260"/>
      <c r="L69" s="260"/>
      <c r="M69" s="260"/>
      <c r="N69" s="260"/>
      <c r="O69" s="260"/>
      <c r="P69" s="260"/>
      <c r="Q69" s="260"/>
      <c r="S69" s="302"/>
      <c r="T69" s="302"/>
      <c r="U69" s="302"/>
      <c r="V69" s="302"/>
      <c r="W69" s="302"/>
    </row>
    <row r="70" spans="1:32" ht="15" customHeight="1" x14ac:dyDescent="0.25">
      <c r="A70" s="333" t="s">
        <v>1165</v>
      </c>
      <c r="B70" s="336" t="s">
        <v>41</v>
      </c>
      <c r="C70" s="334">
        <v>180</v>
      </c>
      <c r="D70" s="362">
        <v>6.3</v>
      </c>
      <c r="E70" s="362">
        <v>9.3000000000000007</v>
      </c>
      <c r="F70" s="362">
        <v>33.6</v>
      </c>
      <c r="G70" s="387">
        <v>233.7</v>
      </c>
      <c r="H70" s="260"/>
      <c r="I70" s="260"/>
      <c r="J70" s="260"/>
      <c r="K70" s="260"/>
      <c r="L70" s="260"/>
      <c r="M70" s="260"/>
      <c r="N70" s="260"/>
      <c r="O70" s="260"/>
      <c r="P70" s="260"/>
      <c r="Q70" s="260"/>
      <c r="S70" s="302"/>
      <c r="T70" s="302"/>
      <c r="U70" s="302"/>
      <c r="V70" s="302"/>
      <c r="W70" s="302"/>
    </row>
    <row r="71" spans="1:32" s="85" customFormat="1" ht="22.5" customHeight="1" x14ac:dyDescent="0.25">
      <c r="A71" s="333" t="s">
        <v>1177</v>
      </c>
      <c r="B71" s="227" t="s">
        <v>1113</v>
      </c>
      <c r="C71" s="334">
        <v>100</v>
      </c>
      <c r="D71" s="335">
        <v>10.9</v>
      </c>
      <c r="E71" s="335">
        <v>12.6</v>
      </c>
      <c r="F71" s="335">
        <v>51.6</v>
      </c>
      <c r="G71" s="338">
        <v>317.39999999999998</v>
      </c>
      <c r="H71" s="258"/>
      <c r="I71" s="258"/>
      <c r="J71" s="258"/>
      <c r="K71" s="258"/>
      <c r="L71" s="258"/>
      <c r="M71" s="258"/>
      <c r="N71" s="258"/>
      <c r="O71" s="281" t="s">
        <v>21</v>
      </c>
      <c r="P71" s="262" t="s">
        <v>1003</v>
      </c>
      <c r="Q71" s="258"/>
      <c r="S71" s="295"/>
      <c r="T71" s="295"/>
      <c r="U71" s="295"/>
      <c r="V71" s="295"/>
      <c r="W71" s="295"/>
    </row>
    <row r="72" spans="1:32" s="85" customFormat="1" ht="15" hidden="1" customHeight="1" x14ac:dyDescent="0.25">
      <c r="A72" s="333" t="s">
        <v>1071</v>
      </c>
      <c r="B72" s="227" t="s">
        <v>1077</v>
      </c>
      <c r="C72" s="334">
        <v>20</v>
      </c>
      <c r="D72" s="335">
        <v>0.66</v>
      </c>
      <c r="E72" s="335">
        <v>0.48</v>
      </c>
      <c r="F72" s="335">
        <v>1.78</v>
      </c>
      <c r="G72" s="338">
        <v>14.16</v>
      </c>
      <c r="H72" s="259"/>
      <c r="I72" s="259"/>
      <c r="J72" s="259"/>
      <c r="K72" s="259"/>
      <c r="L72" s="259"/>
      <c r="M72" s="259"/>
      <c r="N72" s="259"/>
      <c r="O72" s="287">
        <v>16</v>
      </c>
      <c r="P72" s="86">
        <v>17</v>
      </c>
      <c r="Q72" s="259"/>
      <c r="S72" s="295"/>
      <c r="T72" s="295"/>
      <c r="U72" s="295"/>
      <c r="V72" s="295"/>
      <c r="W72" s="295"/>
    </row>
    <row r="73" spans="1:32" s="85" customFormat="1" ht="15" customHeight="1" x14ac:dyDescent="0.25">
      <c r="A73" s="333" t="str">
        <f>VLOOKUP($B73, выпечка!$A$1:$R$52, 17, FALSE)</f>
        <v>ПР</v>
      </c>
      <c r="B73" s="336" t="s">
        <v>52</v>
      </c>
      <c r="C73" s="352">
        <v>60</v>
      </c>
      <c r="D73" s="353">
        <v>4.5999999999999996</v>
      </c>
      <c r="E73" s="353">
        <v>0.5</v>
      </c>
      <c r="F73" s="353">
        <v>29.5</v>
      </c>
      <c r="G73" s="353">
        <v>140.6</v>
      </c>
      <c r="H73" s="258"/>
      <c r="I73" s="258"/>
      <c r="J73" s="258"/>
      <c r="K73" s="258"/>
      <c r="L73" s="258"/>
      <c r="M73" s="258"/>
      <c r="N73" s="258"/>
      <c r="O73" s="280"/>
      <c r="P73" s="280"/>
      <c r="Q73" s="258"/>
      <c r="S73" s="295"/>
      <c r="T73" s="295"/>
      <c r="U73" s="295"/>
      <c r="V73" s="295"/>
      <c r="W73" s="295"/>
    </row>
    <row r="74" spans="1:32" s="85" customFormat="1" ht="15" customHeight="1" x14ac:dyDescent="0.25">
      <c r="A74" s="333" t="str">
        <f>VLOOKUP($B74, выпечка!$A$1:$R$52, 17, FALSE)</f>
        <v>ПР</v>
      </c>
      <c r="B74" s="227" t="s">
        <v>53</v>
      </c>
      <c r="C74" s="352">
        <v>40</v>
      </c>
      <c r="D74" s="353">
        <v>2.67</v>
      </c>
      <c r="E74" s="353">
        <v>0.53</v>
      </c>
      <c r="F74" s="353">
        <v>13.33</v>
      </c>
      <c r="G74" s="353">
        <f>VLOOKUP($B74, [3]выпечка!$A$1:$R$52, 8, FALSE)</f>
        <v>45.98</v>
      </c>
      <c r="H74" s="260"/>
      <c r="I74" s="260"/>
      <c r="J74" s="260"/>
      <c r="K74" s="260"/>
      <c r="L74" s="260"/>
      <c r="M74" s="260"/>
      <c r="N74" s="260"/>
      <c r="O74" s="288"/>
      <c r="P74" s="87"/>
      <c r="Q74" s="260"/>
      <c r="S74" s="297"/>
      <c r="T74" s="37"/>
      <c r="U74" s="37"/>
      <c r="V74" s="37"/>
      <c r="W74" s="37"/>
      <c r="X74" s="34"/>
      <c r="Y74" s="36"/>
      <c r="Z74" s="108" t="s">
        <v>84</v>
      </c>
      <c r="AA74" s="108" t="s">
        <v>85</v>
      </c>
      <c r="AB74" s="108" t="s">
        <v>86</v>
      </c>
      <c r="AC74" s="108" t="s">
        <v>84</v>
      </c>
      <c r="AD74" s="55" t="s">
        <v>87</v>
      </c>
      <c r="AE74" s="55" t="s">
        <v>88</v>
      </c>
      <c r="AF74" s="63"/>
    </row>
    <row r="75" spans="1:32" ht="24.95" customHeight="1" x14ac:dyDescent="0.25">
      <c r="A75" s="346" t="s">
        <v>1085</v>
      </c>
      <c r="B75" s="227" t="s">
        <v>1037</v>
      </c>
      <c r="C75" s="334">
        <v>200</v>
      </c>
      <c r="D75" s="353">
        <v>0.5</v>
      </c>
      <c r="E75" s="353">
        <v>0.2</v>
      </c>
      <c r="F75" s="353">
        <v>19.5</v>
      </c>
      <c r="G75" s="353">
        <v>81.3</v>
      </c>
      <c r="H75" s="260"/>
      <c r="I75" s="260"/>
      <c r="J75" s="260"/>
      <c r="K75" s="260"/>
      <c r="L75" s="260"/>
      <c r="M75" s="260"/>
      <c r="N75" s="260"/>
      <c r="O75" s="288">
        <f>VLOOKUP($B80,салаты!$A$1:$R$82, 16, FALSE)</f>
        <v>0.54</v>
      </c>
      <c r="P75" s="87"/>
      <c r="Q75" s="260"/>
      <c r="S75" s="304"/>
      <c r="T75" s="286"/>
      <c r="U75" s="286"/>
      <c r="V75" s="286"/>
      <c r="W75" s="297"/>
      <c r="X75" s="34"/>
      <c r="Y75" s="109" t="s">
        <v>68</v>
      </c>
      <c r="Z75" s="108">
        <v>25</v>
      </c>
      <c r="AA75" s="221" t="e">
        <f>VLOOKUP($S75,нормы!A14:F15, 2, FALSE)</f>
        <v>#N/A</v>
      </c>
      <c r="AB75" s="41" t="e">
        <f>G85+#REF!</f>
        <v>#REF!</v>
      </c>
      <c r="AC75" s="41" t="e">
        <f>AB75*100/AA75</f>
        <v>#REF!</v>
      </c>
      <c r="AD75" s="110" t="e">
        <f>AC75-100</f>
        <v>#REF!</v>
      </c>
      <c r="AE75" s="41" t="e">
        <f>AB75*100/AB78</f>
        <v>#REF!</v>
      </c>
    </row>
    <row r="76" spans="1:32" ht="24.95" customHeight="1" x14ac:dyDescent="0.25">
      <c r="A76" s="333"/>
      <c r="B76" s="337" t="s">
        <v>100</v>
      </c>
      <c r="C76" s="325">
        <f>C75+C74+C73+C71+C70+C68+C67</f>
        <v>930</v>
      </c>
      <c r="D76" s="325">
        <f t="shared" ref="D76:G76" si="6">D75+D74+D73+D71+D70+D68+D67</f>
        <v>30.990000000000002</v>
      </c>
      <c r="E76" s="325">
        <f t="shared" si="6"/>
        <v>34.47</v>
      </c>
      <c r="F76" s="325">
        <f t="shared" si="6"/>
        <v>169.59</v>
      </c>
      <c r="G76" s="325">
        <f t="shared" si="6"/>
        <v>1013.23</v>
      </c>
      <c r="H76" s="260"/>
      <c r="I76" s="260"/>
      <c r="J76" s="260"/>
      <c r="K76" s="260"/>
      <c r="L76" s="260"/>
      <c r="M76" s="260"/>
      <c r="N76" s="260"/>
      <c r="O76" s="288"/>
      <c r="P76" s="87"/>
      <c r="Q76" s="260"/>
      <c r="S76" s="304"/>
      <c r="T76" s="286"/>
      <c r="U76" s="286"/>
      <c r="V76" s="286"/>
      <c r="W76" s="297"/>
      <c r="X76" s="376"/>
      <c r="Y76" s="109"/>
      <c r="Z76" s="375"/>
      <c r="AA76" s="375"/>
      <c r="AB76" s="41"/>
      <c r="AC76" s="41"/>
      <c r="AD76" s="110"/>
      <c r="AE76" s="41"/>
    </row>
    <row r="77" spans="1:32" ht="15" customHeight="1" x14ac:dyDescent="0.25">
      <c r="A77" s="324"/>
      <c r="B77" s="337" t="s">
        <v>143</v>
      </c>
      <c r="C77" s="324"/>
      <c r="D77" s="325">
        <f>D76+D65</f>
        <v>52.070000000000007</v>
      </c>
      <c r="E77" s="325">
        <f>E76+E65</f>
        <v>55.01</v>
      </c>
      <c r="F77" s="325">
        <f>F76+F65</f>
        <v>262.58</v>
      </c>
      <c r="G77" s="325">
        <f>G76+G65</f>
        <v>1709.71</v>
      </c>
      <c r="H77" s="260"/>
      <c r="I77" s="260"/>
      <c r="J77" s="260"/>
      <c r="K77" s="260"/>
      <c r="L77" s="260"/>
      <c r="M77" s="260"/>
      <c r="N77" s="260"/>
      <c r="O77" s="288">
        <f>VLOOKUP($B81, мясо!$A$1:$R$54, 16, FALSE)</f>
        <v>3.5333333333333332</v>
      </c>
      <c r="P77" s="87"/>
      <c r="Q77" s="260"/>
      <c r="S77" s="307"/>
      <c r="T77" s="285"/>
      <c r="U77" s="285"/>
      <c r="V77" s="285"/>
      <c r="W77" s="285"/>
      <c r="X77" s="34"/>
      <c r="Y77" s="109"/>
      <c r="Z77" s="108"/>
      <c r="AA77" s="221"/>
      <c r="AB77" s="41"/>
      <c r="AC77" s="41"/>
      <c r="AD77" s="110"/>
      <c r="AE77" s="41"/>
    </row>
    <row r="78" spans="1:32" ht="15" customHeight="1" x14ac:dyDescent="0.25">
      <c r="A78" s="404" t="s">
        <v>1054</v>
      </c>
      <c r="B78" s="405"/>
      <c r="C78" s="405"/>
      <c r="D78" s="405"/>
      <c r="E78" s="405"/>
      <c r="F78" s="405"/>
      <c r="G78" s="405"/>
      <c r="H78" s="260"/>
      <c r="I78" s="260"/>
      <c r="J78" s="260"/>
      <c r="K78" s="260"/>
      <c r="L78" s="260"/>
      <c r="M78" s="260"/>
      <c r="N78" s="260"/>
      <c r="O78" s="288" t="e">
        <f>VLOOKUP(#REF!, выпечка!$A$1:$R$52, 16, FALSE)</f>
        <v>#REF!</v>
      </c>
      <c r="P78" s="87"/>
      <c r="Q78" s="260"/>
      <c r="S78" s="45"/>
      <c r="T78" s="272"/>
      <c r="U78" s="272"/>
      <c r="V78" s="272"/>
      <c r="W78" s="272"/>
      <c r="X78" s="34"/>
      <c r="Y78" s="109" t="s">
        <v>173</v>
      </c>
      <c r="Z78" s="108">
        <f>SUM(Z74:Z77)</f>
        <v>25</v>
      </c>
      <c r="AA78" s="108" t="e">
        <f>SUM(AA75:AA77)</f>
        <v>#N/A</v>
      </c>
      <c r="AB78" s="41">
        <f>G98</f>
        <v>1557.71</v>
      </c>
      <c r="AC78" s="41" t="e">
        <f>AB78*100/AA78</f>
        <v>#N/A</v>
      </c>
      <c r="AD78" s="110" t="e">
        <f>AC78-100</f>
        <v>#N/A</v>
      </c>
      <c r="AE78" s="41"/>
    </row>
    <row r="79" spans="1:32" ht="15" customHeight="1" x14ac:dyDescent="0.25">
      <c r="A79" s="182"/>
      <c r="B79" s="329" t="s">
        <v>126</v>
      </c>
      <c r="C79" s="334"/>
      <c r="D79" s="335"/>
      <c r="E79" s="335"/>
      <c r="F79" s="335"/>
      <c r="G79" s="338"/>
      <c r="H79" s="260"/>
      <c r="I79" s="260"/>
      <c r="J79" s="260"/>
      <c r="K79" s="260"/>
      <c r="L79" s="260"/>
      <c r="M79" s="260"/>
      <c r="N79" s="260"/>
      <c r="O79" s="288">
        <f>VLOOKUP($B82, выпечка!$A$1:$R$52, 16, FALSE)</f>
        <v>0.55000000000000004</v>
      </c>
      <c r="P79" s="87"/>
      <c r="Q79" s="260"/>
    </row>
    <row r="80" spans="1:32" ht="15" customHeight="1" x14ac:dyDescent="0.25">
      <c r="A80" s="333" t="s">
        <v>1126</v>
      </c>
      <c r="B80" s="336" t="s">
        <v>1099</v>
      </c>
      <c r="C80" s="334">
        <v>60</v>
      </c>
      <c r="D80" s="335">
        <v>0.7</v>
      </c>
      <c r="E80" s="335">
        <v>0.1</v>
      </c>
      <c r="F80" s="335">
        <v>2.2999999999999998</v>
      </c>
      <c r="G80" s="338">
        <v>12.8</v>
      </c>
      <c r="H80" s="260"/>
      <c r="I80" s="260"/>
      <c r="J80" s="260"/>
      <c r="K80" s="260"/>
      <c r="L80" s="260"/>
      <c r="M80" s="260"/>
      <c r="N80" s="260"/>
      <c r="O80" s="289"/>
      <c r="P80" s="40"/>
      <c r="Q80" s="261"/>
    </row>
    <row r="81" spans="1:32" ht="15" customHeight="1" x14ac:dyDescent="0.25">
      <c r="A81" s="333" t="s">
        <v>1124</v>
      </c>
      <c r="B81" s="227" t="s">
        <v>919</v>
      </c>
      <c r="C81" s="334">
        <v>250</v>
      </c>
      <c r="D81" s="353">
        <v>15.3</v>
      </c>
      <c r="E81" s="353">
        <v>19.7</v>
      </c>
      <c r="F81" s="353">
        <v>38.6</v>
      </c>
      <c r="G81" s="360">
        <v>398.3</v>
      </c>
      <c r="H81" s="282"/>
      <c r="I81" s="282"/>
      <c r="J81" s="282"/>
      <c r="K81" s="282"/>
      <c r="L81" s="282"/>
      <c r="M81" s="282"/>
      <c r="N81" s="282"/>
      <c r="O81" s="290"/>
      <c r="P81" s="106"/>
      <c r="Q81" s="257"/>
    </row>
    <row r="82" spans="1:32" ht="15" customHeight="1" x14ac:dyDescent="0.25">
      <c r="A82" s="333" t="str">
        <f>VLOOKUP($B82, выпечка!$A$1:$R$52, 17, FALSE)</f>
        <v>ПР</v>
      </c>
      <c r="B82" s="336" t="s">
        <v>52</v>
      </c>
      <c r="C82" s="323">
        <v>50</v>
      </c>
      <c r="D82" s="323">
        <v>3.75</v>
      </c>
      <c r="E82" s="323">
        <v>0.38</v>
      </c>
      <c r="F82" s="323">
        <v>24.63</v>
      </c>
      <c r="G82" s="323">
        <v>117.25</v>
      </c>
      <c r="H82" s="260"/>
      <c r="I82" s="260"/>
      <c r="J82" s="260"/>
      <c r="K82" s="260"/>
      <c r="L82" s="260"/>
      <c r="M82" s="260"/>
      <c r="N82" s="260"/>
      <c r="O82" s="288"/>
      <c r="P82" s="87"/>
      <c r="Q82" s="260"/>
    </row>
    <row r="83" spans="1:32" ht="15" customHeight="1" x14ac:dyDescent="0.25">
      <c r="A83" s="333" t="str">
        <f>VLOOKUP($B83, выпечка!$A$1:$R$52, 17, FALSE)</f>
        <v>ПР</v>
      </c>
      <c r="B83" s="227" t="s">
        <v>1026</v>
      </c>
      <c r="C83" s="352">
        <v>30</v>
      </c>
      <c r="D83" s="353">
        <v>2.41</v>
      </c>
      <c r="E83" s="353">
        <v>0.37</v>
      </c>
      <c r="F83" s="353">
        <v>14.62</v>
      </c>
      <c r="G83" s="353">
        <v>72.33</v>
      </c>
      <c r="H83" s="260"/>
      <c r="I83" s="260"/>
      <c r="J83" s="260"/>
      <c r="K83" s="260"/>
      <c r="L83" s="260"/>
      <c r="M83" s="260"/>
      <c r="N83" s="260"/>
      <c r="O83" s="288"/>
      <c r="P83" s="87"/>
      <c r="Q83" s="260"/>
    </row>
    <row r="84" spans="1:32" ht="15" customHeight="1" x14ac:dyDescent="0.25">
      <c r="A84" s="324" t="s">
        <v>31</v>
      </c>
      <c r="B84" s="227" t="s">
        <v>907</v>
      </c>
      <c r="C84" s="352">
        <v>100</v>
      </c>
      <c r="D84" s="322">
        <v>0.4</v>
      </c>
      <c r="E84" s="322">
        <v>0.4</v>
      </c>
      <c r="F84" s="322">
        <v>9.8000000000000007</v>
      </c>
      <c r="G84" s="322">
        <v>44.4</v>
      </c>
      <c r="H84" s="260"/>
      <c r="I84" s="260"/>
      <c r="J84" s="260"/>
      <c r="K84" s="260"/>
      <c r="L84" s="260"/>
      <c r="M84" s="260"/>
      <c r="N84" s="260"/>
      <c r="O84" s="288"/>
      <c r="P84" s="87"/>
      <c r="Q84" s="260"/>
    </row>
    <row r="85" spans="1:32" ht="15" customHeight="1" x14ac:dyDescent="0.25">
      <c r="A85" s="333" t="s">
        <v>1169</v>
      </c>
      <c r="B85" s="227" t="s">
        <v>59</v>
      </c>
      <c r="C85" s="352">
        <v>200</v>
      </c>
      <c r="D85" s="335">
        <v>0.2</v>
      </c>
      <c r="E85" s="335">
        <v>0</v>
      </c>
      <c r="F85" s="335">
        <v>6.4</v>
      </c>
      <c r="G85" s="335">
        <v>26.8</v>
      </c>
      <c r="H85" s="260"/>
      <c r="I85" s="260"/>
      <c r="J85" s="260"/>
      <c r="K85" s="260"/>
      <c r="L85" s="260"/>
      <c r="M85" s="260"/>
      <c r="N85" s="260"/>
      <c r="O85" s="288">
        <f>VLOOKUP($B89, супы!$A$1:$R$28, 16, FALSE)</f>
        <v>1.2250000000000001</v>
      </c>
      <c r="P85" s="87"/>
      <c r="Q85" s="260"/>
    </row>
    <row r="86" spans="1:32" ht="24.95" customHeight="1" x14ac:dyDescent="0.25">
      <c r="A86" s="324"/>
      <c r="B86" s="337" t="s">
        <v>100</v>
      </c>
      <c r="C86" s="381">
        <f>SUM(C80:C85)</f>
        <v>690</v>
      </c>
      <c r="D86" s="379">
        <f t="shared" ref="D86:G86" si="7">SUM(D80:D85)</f>
        <v>22.759999999999998</v>
      </c>
      <c r="E86" s="379">
        <f>SUM(E80:E85)</f>
        <v>20.95</v>
      </c>
      <c r="F86" s="379">
        <f>F85+F84+F83+F82+F81+F80</f>
        <v>96.350000000000009</v>
      </c>
      <c r="G86" s="379">
        <f t="shared" si="7"/>
        <v>671.88</v>
      </c>
      <c r="H86" s="260"/>
      <c r="I86" s="260"/>
      <c r="J86" s="260"/>
      <c r="K86" s="260"/>
      <c r="L86" s="260"/>
      <c r="M86" s="260"/>
      <c r="N86" s="260"/>
      <c r="O86" s="288" t="e">
        <f>VLOOKUP($B90, мясо!$A$1:$R$54, 16, FALSE)</f>
        <v>#N/A</v>
      </c>
      <c r="P86" s="87"/>
      <c r="Q86" s="260"/>
    </row>
    <row r="87" spans="1:32" ht="24.95" customHeight="1" x14ac:dyDescent="0.25">
      <c r="A87" s="324"/>
      <c r="B87" s="363" t="s">
        <v>127</v>
      </c>
      <c r="C87" s="334"/>
      <c r="D87" s="325"/>
      <c r="E87" s="325"/>
      <c r="F87" s="325"/>
      <c r="G87" s="339"/>
      <c r="H87" s="260"/>
      <c r="I87" s="260"/>
      <c r="J87" s="260"/>
      <c r="K87" s="260"/>
      <c r="L87" s="260"/>
      <c r="M87" s="260"/>
      <c r="N87" s="260"/>
      <c r="O87" s="288"/>
      <c r="P87" s="87"/>
      <c r="Q87" s="260"/>
    </row>
    <row r="88" spans="1:32" ht="15" customHeight="1" x14ac:dyDescent="0.25">
      <c r="A88" s="333" t="s">
        <v>1159</v>
      </c>
      <c r="B88" s="225" t="s">
        <v>1112</v>
      </c>
      <c r="C88" s="334">
        <v>100</v>
      </c>
      <c r="D88" s="335">
        <v>0.8</v>
      </c>
      <c r="E88" s="335">
        <v>2</v>
      </c>
      <c r="F88" s="335">
        <v>4.0999999999999996</v>
      </c>
      <c r="G88" s="338">
        <v>37.6</v>
      </c>
      <c r="H88" s="260"/>
      <c r="I88" s="260"/>
      <c r="J88" s="260"/>
      <c r="K88" s="260"/>
      <c r="L88" s="260"/>
      <c r="M88" s="260"/>
      <c r="N88" s="260"/>
      <c r="O88" s="288">
        <f>VLOOKUP($B94, выпечка!$A$1:$R$52, 16, FALSE)</f>
        <v>0.55000000000000004</v>
      </c>
      <c r="P88" s="87"/>
      <c r="Q88" s="260"/>
    </row>
    <row r="89" spans="1:32" ht="15" customHeight="1" x14ac:dyDescent="0.25">
      <c r="A89" s="333" t="s">
        <v>1134</v>
      </c>
      <c r="B89" s="336" t="s">
        <v>1088</v>
      </c>
      <c r="C89" s="334">
        <v>250</v>
      </c>
      <c r="D89" s="335">
        <v>2.0299999999999998</v>
      </c>
      <c r="E89" s="335">
        <v>7.92</v>
      </c>
      <c r="F89" s="335">
        <v>6.44</v>
      </c>
      <c r="G89" s="338">
        <v>117</v>
      </c>
      <c r="H89" s="260"/>
      <c r="I89" s="260"/>
      <c r="J89" s="260"/>
      <c r="K89" s="260"/>
      <c r="L89" s="260"/>
      <c r="M89" s="260"/>
      <c r="N89" s="260"/>
      <c r="O89" s="288">
        <f>VLOOKUP($B95, выпечка!$A$1:$R$52, 16, FALSE)</f>
        <v>0.62</v>
      </c>
      <c r="P89" s="87"/>
      <c r="Q89" s="260"/>
    </row>
    <row r="90" spans="1:32" ht="15" hidden="1" customHeight="1" x14ac:dyDescent="0.25">
      <c r="A90" s="333"/>
      <c r="B90" s="336"/>
      <c r="C90" s="334"/>
      <c r="D90" s="335"/>
      <c r="E90" s="335"/>
      <c r="F90" s="335"/>
      <c r="G90" s="338"/>
      <c r="H90" s="260"/>
      <c r="I90" s="260"/>
      <c r="J90" s="260"/>
      <c r="K90" s="260"/>
      <c r="L90" s="260"/>
      <c r="M90" s="260"/>
      <c r="N90" s="260"/>
      <c r="O90" s="288">
        <f>VLOOKUP($B96, напитки!$A$1:$R$34, 16, FALSE)</f>
        <v>0.45</v>
      </c>
      <c r="P90" s="87"/>
      <c r="Q90" s="260"/>
    </row>
    <row r="91" spans="1:32" s="85" customFormat="1" ht="20.25" hidden="1" customHeight="1" x14ac:dyDescent="0.25">
      <c r="A91" s="333"/>
      <c r="B91" s="227"/>
      <c r="C91" s="334"/>
      <c r="D91" s="335"/>
      <c r="E91" s="335"/>
      <c r="F91" s="335"/>
      <c r="G91" s="338"/>
      <c r="H91" s="258"/>
      <c r="I91" s="258"/>
      <c r="J91" s="258"/>
      <c r="K91" s="258"/>
      <c r="L91" s="258"/>
      <c r="M91" s="258"/>
      <c r="N91" s="258"/>
      <c r="O91" s="258"/>
      <c r="P91" s="258"/>
      <c r="Q91" s="258"/>
      <c r="R91" s="295"/>
      <c r="S91" s="295"/>
      <c r="T91" s="295"/>
      <c r="U91" s="295"/>
      <c r="V91" s="295"/>
      <c r="W91" s="295"/>
      <c r="X91" s="295"/>
      <c r="Y91" s="295"/>
      <c r="Z91" s="295"/>
      <c r="AA91" s="295"/>
      <c r="AB91" s="295"/>
      <c r="AC91" s="295"/>
      <c r="AD91" s="295"/>
      <c r="AE91" s="295"/>
    </row>
    <row r="92" spans="1:32" s="85" customFormat="1" ht="15" customHeight="1" x14ac:dyDescent="0.25">
      <c r="A92" s="324" t="s">
        <v>1178</v>
      </c>
      <c r="B92" s="355" t="s">
        <v>1185</v>
      </c>
      <c r="C92" s="334">
        <v>100</v>
      </c>
      <c r="D92" s="335">
        <v>13.7</v>
      </c>
      <c r="E92" s="335">
        <v>12.91</v>
      </c>
      <c r="F92" s="335">
        <v>13.4</v>
      </c>
      <c r="G92" s="338">
        <v>221.3</v>
      </c>
      <c r="H92" s="259"/>
      <c r="I92" s="259"/>
      <c r="J92" s="259"/>
      <c r="K92" s="259"/>
      <c r="L92" s="259"/>
      <c r="M92" s="259"/>
      <c r="N92" s="259"/>
      <c r="O92" s="259"/>
      <c r="P92" s="259"/>
      <c r="Q92" s="259"/>
      <c r="R92" s="295"/>
      <c r="S92" s="295"/>
      <c r="T92" s="295"/>
      <c r="U92" s="295"/>
      <c r="V92" s="295"/>
      <c r="W92" s="295"/>
      <c r="X92" s="295"/>
      <c r="Y92" s="295"/>
      <c r="Z92" s="295"/>
      <c r="AA92" s="295"/>
      <c r="AB92" s="295"/>
      <c r="AC92" s="295"/>
      <c r="AD92" s="295"/>
      <c r="AE92" s="295"/>
    </row>
    <row r="93" spans="1:32" s="370" customFormat="1" ht="15" customHeight="1" x14ac:dyDescent="0.25">
      <c r="A93" s="333" t="s">
        <v>1114</v>
      </c>
      <c r="B93" s="227" t="s">
        <v>163</v>
      </c>
      <c r="C93" s="334">
        <v>180</v>
      </c>
      <c r="D93" s="335">
        <v>2.86</v>
      </c>
      <c r="E93" s="335">
        <v>4.32</v>
      </c>
      <c r="F93" s="335">
        <v>23.01</v>
      </c>
      <c r="G93" s="338">
        <v>242.35</v>
      </c>
      <c r="H93" s="259"/>
      <c r="I93" s="259"/>
      <c r="J93" s="259"/>
      <c r="K93" s="259"/>
      <c r="L93" s="259"/>
      <c r="M93" s="259"/>
      <c r="N93" s="259"/>
      <c r="O93" s="259"/>
      <c r="P93" s="259"/>
      <c r="Q93" s="259"/>
      <c r="R93" s="295"/>
      <c r="S93" s="295"/>
      <c r="T93" s="295"/>
      <c r="U93" s="295"/>
      <c r="V93" s="295"/>
      <c r="W93" s="295"/>
      <c r="X93" s="295"/>
      <c r="Y93" s="295"/>
      <c r="Z93" s="295"/>
      <c r="AA93" s="295"/>
      <c r="AB93" s="295"/>
      <c r="AC93" s="295"/>
      <c r="AD93" s="295"/>
      <c r="AE93" s="295"/>
    </row>
    <row r="94" spans="1:32" s="85" customFormat="1" ht="15" customHeight="1" x14ac:dyDescent="0.25">
      <c r="A94" s="333" t="str">
        <f>VLOOKUP($B94, выпечка!$A$1:$R$52, 17, FALSE)</f>
        <v>ПР</v>
      </c>
      <c r="B94" s="336" t="s">
        <v>52</v>
      </c>
      <c r="C94" s="352">
        <v>60</v>
      </c>
      <c r="D94" s="353">
        <v>4.5999999999999996</v>
      </c>
      <c r="E94" s="353">
        <v>0.5</v>
      </c>
      <c r="F94" s="353">
        <v>29.5</v>
      </c>
      <c r="G94" s="353">
        <v>140.6</v>
      </c>
      <c r="H94" s="258"/>
      <c r="I94" s="258"/>
      <c r="J94" s="258"/>
      <c r="K94" s="258"/>
      <c r="L94" s="258"/>
      <c r="M94" s="258"/>
      <c r="N94" s="258"/>
      <c r="O94" s="258"/>
      <c r="P94" s="258"/>
      <c r="Q94" s="258"/>
      <c r="R94" s="295"/>
      <c r="S94" s="295"/>
      <c r="T94" s="295"/>
      <c r="U94" s="295"/>
      <c r="V94" s="295"/>
      <c r="W94" s="295"/>
      <c r="X94" s="295"/>
      <c r="Y94" s="295"/>
      <c r="Z94" s="295"/>
      <c r="AA94" s="295"/>
      <c r="AB94" s="295"/>
      <c r="AC94" s="295"/>
      <c r="AD94" s="295"/>
      <c r="AE94" s="295"/>
    </row>
    <row r="95" spans="1:32" s="85" customFormat="1" ht="15" customHeight="1" x14ac:dyDescent="0.25">
      <c r="A95" s="333" t="str">
        <f>VLOOKUP($B95, выпечка!$A$1:$R$52, 17, FALSE)</f>
        <v>ПР</v>
      </c>
      <c r="B95" s="227" t="s">
        <v>53</v>
      </c>
      <c r="C95" s="352">
        <v>40</v>
      </c>
      <c r="D95" s="353">
        <v>2.67</v>
      </c>
      <c r="E95" s="353">
        <v>0.53</v>
      </c>
      <c r="F95" s="353">
        <v>13.33</v>
      </c>
      <c r="G95" s="353">
        <f>VLOOKUP($B95, [3]выпечка!$A$1:$R$52, 8, FALSE)</f>
        <v>45.98</v>
      </c>
      <c r="H95" s="260"/>
      <c r="I95" s="260"/>
      <c r="J95" s="260"/>
      <c r="K95" s="260"/>
      <c r="L95" s="260"/>
      <c r="M95" s="260"/>
      <c r="N95" s="260"/>
      <c r="O95" s="260"/>
      <c r="P95" s="260"/>
      <c r="Q95" s="260"/>
      <c r="R95" s="295"/>
      <c r="S95" s="297"/>
      <c r="T95" s="37"/>
      <c r="U95" s="37"/>
      <c r="V95" s="37"/>
      <c r="W95" s="37"/>
      <c r="X95" s="297"/>
      <c r="Y95" s="297"/>
      <c r="Z95" s="37"/>
      <c r="AA95" s="37"/>
      <c r="AB95" s="37"/>
      <c r="AC95" s="37"/>
      <c r="AD95" s="303"/>
      <c r="AE95" s="303"/>
      <c r="AF95" s="63"/>
    </row>
    <row r="96" spans="1:32" s="348" customFormat="1" ht="15" customHeight="1" x14ac:dyDescent="0.25">
      <c r="A96" s="333" t="s">
        <v>1111</v>
      </c>
      <c r="B96" s="336" t="s">
        <v>1107</v>
      </c>
      <c r="C96" s="334">
        <v>200</v>
      </c>
      <c r="D96" s="353">
        <v>0.5</v>
      </c>
      <c r="E96" s="353">
        <v>0</v>
      </c>
      <c r="F96" s="353">
        <v>19.8</v>
      </c>
      <c r="G96" s="353">
        <v>81</v>
      </c>
      <c r="H96" s="260"/>
      <c r="I96" s="260"/>
      <c r="J96" s="260"/>
      <c r="K96" s="260"/>
      <c r="L96" s="260"/>
      <c r="M96" s="260"/>
      <c r="N96" s="260"/>
      <c r="O96" s="260"/>
      <c r="P96" s="260"/>
      <c r="Q96" s="260"/>
      <c r="R96" s="295"/>
      <c r="S96" s="297"/>
      <c r="T96" s="37"/>
      <c r="U96" s="37"/>
      <c r="V96" s="37"/>
      <c r="W96" s="37"/>
      <c r="X96" s="297"/>
      <c r="Y96" s="297"/>
      <c r="Z96" s="37"/>
      <c r="AA96" s="37"/>
      <c r="AB96" s="37"/>
      <c r="AC96" s="37"/>
      <c r="AD96" s="303"/>
      <c r="AE96" s="303"/>
      <c r="AF96" s="347"/>
    </row>
    <row r="97" spans="1:32" s="378" customFormat="1" ht="15" customHeight="1" x14ac:dyDescent="0.25">
      <c r="A97" s="333"/>
      <c r="B97" s="337" t="s">
        <v>100</v>
      </c>
      <c r="C97" s="325">
        <f>C96+C95+C94+C93+C92+C89+C88</f>
        <v>930</v>
      </c>
      <c r="D97" s="325">
        <f t="shared" ref="D97:G97" si="8">D96+D95+D94+D93+D92+D89+D88</f>
        <v>27.16</v>
      </c>
      <c r="E97" s="325">
        <f t="shared" si="8"/>
        <v>28.18</v>
      </c>
      <c r="F97" s="325">
        <f t="shared" si="8"/>
        <v>109.58</v>
      </c>
      <c r="G97" s="325">
        <f t="shared" si="8"/>
        <v>885.83</v>
      </c>
      <c r="H97" s="260"/>
      <c r="I97" s="260"/>
      <c r="J97" s="260"/>
      <c r="K97" s="260"/>
      <c r="L97" s="260"/>
      <c r="M97" s="260"/>
      <c r="N97" s="260"/>
      <c r="O97" s="260"/>
      <c r="P97" s="260"/>
      <c r="Q97" s="260"/>
      <c r="R97" s="295"/>
      <c r="S97" s="297"/>
      <c r="T97" s="37"/>
      <c r="U97" s="37"/>
      <c r="V97" s="37"/>
      <c r="W97" s="37"/>
      <c r="X97" s="297"/>
      <c r="Y97" s="297"/>
      <c r="Z97" s="37"/>
      <c r="AA97" s="37"/>
      <c r="AB97" s="37"/>
      <c r="AC97" s="37"/>
      <c r="AD97" s="303"/>
      <c r="AE97" s="303"/>
      <c r="AF97" s="377"/>
    </row>
    <row r="98" spans="1:32" ht="15" customHeight="1" x14ac:dyDescent="0.25">
      <c r="A98" s="324"/>
      <c r="B98" s="337" t="s">
        <v>143</v>
      </c>
      <c r="C98" s="324"/>
      <c r="D98" s="325">
        <f>D97+D86</f>
        <v>49.92</v>
      </c>
      <c r="E98" s="325">
        <f t="shared" ref="E98:G98" si="9">E97+E86</f>
        <v>49.129999999999995</v>
      </c>
      <c r="F98" s="325">
        <f t="shared" si="9"/>
        <v>205.93</v>
      </c>
      <c r="G98" s="325">
        <f t="shared" si="9"/>
        <v>1557.71</v>
      </c>
      <c r="H98" s="260"/>
      <c r="I98" s="260"/>
      <c r="J98" s="260"/>
      <c r="K98" s="260"/>
      <c r="L98" s="260"/>
      <c r="M98" s="260"/>
      <c r="N98" s="260"/>
      <c r="O98" s="260"/>
      <c r="P98" s="260"/>
      <c r="Q98" s="260"/>
      <c r="R98" s="302"/>
      <c r="S98" s="306"/>
      <c r="T98" s="286"/>
      <c r="U98" s="286"/>
      <c r="V98" s="286"/>
      <c r="W98" s="286"/>
      <c r="X98" s="297"/>
      <c r="Y98" s="298"/>
      <c r="Z98" s="37"/>
      <c r="AA98" s="37"/>
      <c r="AB98" s="286"/>
      <c r="AC98" s="286"/>
      <c r="AD98" s="305"/>
      <c r="AE98" s="286"/>
    </row>
    <row r="99" spans="1:32" ht="15" customHeight="1" x14ac:dyDescent="0.25">
      <c r="A99" s="404" t="s">
        <v>1059</v>
      </c>
      <c r="B99" s="405"/>
      <c r="C99" s="405"/>
      <c r="D99" s="405"/>
      <c r="E99" s="405"/>
      <c r="F99" s="405"/>
      <c r="G99" s="405"/>
      <c r="H99" s="260"/>
      <c r="I99" s="260"/>
      <c r="J99" s="260"/>
      <c r="K99" s="260"/>
      <c r="L99" s="260"/>
      <c r="M99" s="260"/>
      <c r="N99" s="260"/>
      <c r="O99" s="260"/>
      <c r="P99" s="260"/>
      <c r="Q99" s="260"/>
      <c r="R99" s="302"/>
      <c r="S99" s="307"/>
      <c r="T99" s="285"/>
      <c r="U99" s="285"/>
      <c r="V99" s="285"/>
      <c r="W99" s="285"/>
      <c r="X99" s="297"/>
      <c r="Y99" s="298"/>
      <c r="Z99" s="37"/>
      <c r="AA99" s="37"/>
      <c r="AB99" s="286"/>
      <c r="AC99" s="286"/>
      <c r="AD99" s="305"/>
      <c r="AE99" s="286"/>
    </row>
    <row r="100" spans="1:32" ht="15" customHeight="1" x14ac:dyDescent="0.25">
      <c r="A100" s="182"/>
      <c r="B100" s="329" t="s">
        <v>126</v>
      </c>
      <c r="C100" s="334"/>
      <c r="D100" s="335"/>
      <c r="E100" s="335"/>
      <c r="F100" s="335"/>
      <c r="G100" s="338"/>
      <c r="H100" s="260"/>
      <c r="I100" s="260"/>
      <c r="J100" s="260"/>
      <c r="K100" s="260"/>
      <c r="L100" s="260"/>
      <c r="M100" s="260"/>
      <c r="N100" s="260"/>
      <c r="O100" s="260"/>
      <c r="P100" s="260"/>
      <c r="Q100" s="260"/>
      <c r="R100" s="302"/>
      <c r="S100" s="45"/>
      <c r="T100" s="272"/>
      <c r="U100" s="272"/>
      <c r="V100" s="272"/>
      <c r="W100" s="272"/>
      <c r="X100" s="297"/>
      <c r="Y100" s="298"/>
      <c r="Z100" s="37"/>
      <c r="AA100" s="37"/>
      <c r="AB100" s="286"/>
      <c r="AC100" s="286"/>
      <c r="AD100" s="305"/>
      <c r="AE100" s="286"/>
    </row>
    <row r="101" spans="1:32" ht="15" customHeight="1" x14ac:dyDescent="0.25">
      <c r="A101" s="349" t="s">
        <v>31</v>
      </c>
      <c r="B101" s="336" t="s">
        <v>30</v>
      </c>
      <c r="C101" s="334">
        <v>60</v>
      </c>
      <c r="D101" s="335">
        <v>0.4</v>
      </c>
      <c r="E101" s="335">
        <v>3.94</v>
      </c>
      <c r="F101" s="335">
        <v>3.62</v>
      </c>
      <c r="G101" s="338">
        <v>27.7</v>
      </c>
      <c r="H101" s="260"/>
      <c r="I101" s="260"/>
      <c r="J101" s="260"/>
      <c r="K101" s="260"/>
      <c r="L101" s="260"/>
      <c r="M101" s="260"/>
      <c r="N101" s="260"/>
      <c r="O101" s="261"/>
      <c r="P101" s="261"/>
      <c r="Q101" s="261"/>
    </row>
    <row r="102" spans="1:32" ht="15" customHeight="1" x14ac:dyDescent="0.25">
      <c r="A102" s="349" t="s">
        <v>1115</v>
      </c>
      <c r="B102" s="227" t="s">
        <v>1171</v>
      </c>
      <c r="C102" s="334">
        <v>100</v>
      </c>
      <c r="D102" s="353">
        <v>6.61</v>
      </c>
      <c r="E102" s="353">
        <v>11.6</v>
      </c>
      <c r="F102" s="353">
        <v>5.84</v>
      </c>
      <c r="G102" s="360">
        <v>124</v>
      </c>
      <c r="H102" s="261"/>
      <c r="I102" s="261"/>
      <c r="J102" s="261"/>
      <c r="K102" s="261"/>
      <c r="L102" s="261"/>
      <c r="M102" s="261"/>
      <c r="N102" s="261"/>
      <c r="O102" s="261"/>
      <c r="P102" s="261"/>
      <c r="Q102" s="261"/>
    </row>
    <row r="103" spans="1:32" ht="15" customHeight="1" x14ac:dyDescent="0.25">
      <c r="A103" s="333" t="s">
        <v>1065</v>
      </c>
      <c r="B103" s="227" t="s">
        <v>1062</v>
      </c>
      <c r="C103" s="334">
        <v>180</v>
      </c>
      <c r="D103" s="362">
        <v>6.48</v>
      </c>
      <c r="E103" s="362">
        <v>5.88</v>
      </c>
      <c r="F103" s="362">
        <v>39.36</v>
      </c>
      <c r="G103" s="362">
        <v>236.16</v>
      </c>
      <c r="H103" s="261"/>
      <c r="I103" s="261"/>
      <c r="J103" s="261"/>
      <c r="K103" s="261"/>
      <c r="L103" s="261"/>
      <c r="M103" s="261"/>
      <c r="N103" s="261"/>
      <c r="O103" s="261"/>
      <c r="P103" s="261"/>
      <c r="Q103" s="261"/>
    </row>
    <row r="104" spans="1:32" ht="15" customHeight="1" x14ac:dyDescent="0.25">
      <c r="A104" s="324" t="str">
        <f>VLOOKUP($B104,[4]Выпека!$A$5:$V$56,22,FALSE)</f>
        <v>ПР</v>
      </c>
      <c r="B104" s="227" t="s">
        <v>1109</v>
      </c>
      <c r="C104" s="323">
        <v>50</v>
      </c>
      <c r="D104" s="323">
        <v>3.75</v>
      </c>
      <c r="E104" s="323">
        <v>0.38</v>
      </c>
      <c r="F104" s="323">
        <v>24.63</v>
      </c>
      <c r="G104" s="323">
        <v>117.25</v>
      </c>
      <c r="H104" s="322">
        <v>2.35</v>
      </c>
      <c r="I104" s="282"/>
      <c r="J104" s="282"/>
      <c r="K104" s="282"/>
      <c r="L104" s="282"/>
      <c r="M104" s="282"/>
      <c r="N104" s="282"/>
      <c r="O104" s="282"/>
      <c r="P104" s="282"/>
      <c r="Q104" s="257"/>
    </row>
    <row r="105" spans="1:32" ht="15" hidden="1" customHeight="1" x14ac:dyDescent="0.25">
      <c r="A105" s="333" t="str">
        <f>VLOOKUP($B105, выпечка!$A$1:$R$52, 17, FALSE)</f>
        <v>ПР</v>
      </c>
      <c r="B105" s="336" t="s">
        <v>52</v>
      </c>
      <c r="C105" s="352">
        <v>40</v>
      </c>
      <c r="D105" s="353">
        <v>2.67</v>
      </c>
      <c r="E105" s="353">
        <v>0.53</v>
      </c>
      <c r="F105" s="353">
        <v>13.33</v>
      </c>
      <c r="G105" s="353">
        <f>VLOOKUP($B105, [3]выпечка!$A$1:$R$52, 8, FALSE)</f>
        <v>116.9</v>
      </c>
      <c r="H105" s="260"/>
      <c r="I105" s="260"/>
      <c r="J105" s="260"/>
      <c r="K105" s="260"/>
      <c r="L105" s="260"/>
      <c r="M105" s="260"/>
      <c r="N105" s="260"/>
      <c r="O105" s="260"/>
      <c r="P105" s="260"/>
      <c r="Q105" s="260"/>
    </row>
    <row r="106" spans="1:32" ht="24.95" customHeight="1" x14ac:dyDescent="0.25">
      <c r="A106" s="333" t="str">
        <f>VLOOKUP($B106, выпечка!$A$1:$R$52, 17, FALSE)</f>
        <v>ПР</v>
      </c>
      <c r="B106" s="227" t="s">
        <v>1026</v>
      </c>
      <c r="C106" s="352">
        <v>30</v>
      </c>
      <c r="D106" s="353">
        <v>2.67</v>
      </c>
      <c r="E106" s="353">
        <v>0.53</v>
      </c>
      <c r="F106" s="353">
        <v>12.33</v>
      </c>
      <c r="G106" s="353">
        <f>VLOOKUP($B106, [3]выпечка!$A$1:$R$52, 8, FALSE)</f>
        <v>45.98</v>
      </c>
      <c r="H106" s="260"/>
      <c r="I106" s="260"/>
      <c r="J106" s="260"/>
      <c r="K106" s="260"/>
      <c r="L106" s="260"/>
      <c r="M106" s="260"/>
      <c r="N106" s="260"/>
      <c r="O106" s="260"/>
      <c r="P106" s="260"/>
      <c r="Q106" s="260"/>
    </row>
    <row r="107" spans="1:32" ht="24.95" customHeight="1" x14ac:dyDescent="0.25">
      <c r="A107" s="333" t="s">
        <v>1161</v>
      </c>
      <c r="B107" s="227" t="s">
        <v>161</v>
      </c>
      <c r="C107" s="334">
        <v>200</v>
      </c>
      <c r="D107" s="322">
        <v>3.8</v>
      </c>
      <c r="E107" s="322">
        <v>2.9</v>
      </c>
      <c r="F107" s="322">
        <v>11.3</v>
      </c>
      <c r="G107" s="322">
        <v>86</v>
      </c>
      <c r="H107" s="260"/>
      <c r="I107" s="260"/>
      <c r="J107" s="260"/>
      <c r="K107" s="260"/>
      <c r="L107" s="260"/>
      <c r="M107" s="260"/>
      <c r="N107" s="260"/>
      <c r="O107" s="260"/>
      <c r="P107" s="260"/>
      <c r="Q107" s="260"/>
    </row>
    <row r="108" spans="1:32" ht="15" customHeight="1" x14ac:dyDescent="0.25">
      <c r="A108" s="324"/>
      <c r="B108" s="227"/>
      <c r="C108" s="352"/>
      <c r="D108" s="353"/>
      <c r="E108" s="353"/>
      <c r="F108" s="353"/>
      <c r="G108" s="360"/>
      <c r="H108" s="260"/>
      <c r="I108" s="260"/>
      <c r="J108" s="260"/>
      <c r="K108" s="260"/>
      <c r="L108" s="260"/>
      <c r="M108" s="260"/>
      <c r="N108" s="260"/>
      <c r="O108" s="260"/>
      <c r="P108" s="260"/>
      <c r="Q108" s="260"/>
    </row>
    <row r="109" spans="1:32" ht="24.95" customHeight="1" x14ac:dyDescent="0.25">
      <c r="A109" s="324"/>
      <c r="B109" s="337" t="s">
        <v>100</v>
      </c>
      <c r="C109" s="379">
        <f>C107+C106+C104+C103+C102+C101</f>
        <v>620</v>
      </c>
      <c r="D109" s="379">
        <f>D108+D107+D106+D104+D103+D102+D101</f>
        <v>23.709999999999997</v>
      </c>
      <c r="E109" s="379">
        <f t="shared" ref="E109:F109" si="10">E108+E107+E106+E104+E103+E102+E101</f>
        <v>25.23</v>
      </c>
      <c r="F109" s="379">
        <f t="shared" si="10"/>
        <v>97.080000000000013</v>
      </c>
      <c r="G109" s="379">
        <f>G108+G107+G106+G104+G103+G102+G101</f>
        <v>637.09</v>
      </c>
      <c r="H109" s="260"/>
      <c r="I109" s="260"/>
      <c r="J109" s="260"/>
      <c r="K109" s="260"/>
      <c r="L109" s="260"/>
      <c r="M109" s="260"/>
      <c r="N109" s="260"/>
      <c r="O109" s="260"/>
      <c r="P109" s="260"/>
      <c r="Q109" s="260"/>
    </row>
    <row r="110" spans="1:32" ht="15" customHeight="1" x14ac:dyDescent="0.25">
      <c r="A110" s="324"/>
      <c r="B110" s="329" t="s">
        <v>127</v>
      </c>
      <c r="C110" s="324"/>
      <c r="D110" s="324"/>
      <c r="E110" s="324"/>
      <c r="F110" s="324"/>
      <c r="G110" s="340"/>
      <c r="H110" s="260"/>
      <c r="I110" s="260"/>
      <c r="J110" s="260"/>
      <c r="K110" s="260"/>
      <c r="L110" s="260"/>
      <c r="M110" s="260"/>
      <c r="N110" s="260"/>
      <c r="O110" s="260"/>
      <c r="P110" s="260"/>
      <c r="Q110" s="260"/>
    </row>
    <row r="111" spans="1:32" ht="15" customHeight="1" x14ac:dyDescent="0.25">
      <c r="A111" s="333" t="s">
        <v>1096</v>
      </c>
      <c r="B111" s="336" t="s">
        <v>151</v>
      </c>
      <c r="C111" s="334">
        <v>100</v>
      </c>
      <c r="D111" s="335">
        <v>0.8</v>
      </c>
      <c r="E111" s="335">
        <v>2.7</v>
      </c>
      <c r="F111" s="335">
        <v>4.5999999999999996</v>
      </c>
      <c r="G111" s="338">
        <v>45.6</v>
      </c>
      <c r="H111" s="260"/>
      <c r="I111" s="260"/>
      <c r="J111" s="260"/>
      <c r="K111" s="260"/>
      <c r="L111" s="260"/>
      <c r="M111" s="260"/>
      <c r="N111" s="260"/>
      <c r="O111" s="260"/>
      <c r="P111" s="260"/>
      <c r="Q111" s="260"/>
      <c r="S111" s="302"/>
      <c r="T111" s="302"/>
      <c r="U111" s="302"/>
      <c r="V111" s="302"/>
      <c r="W111" s="302"/>
      <c r="X111" s="302"/>
      <c r="Y111" s="302"/>
      <c r="Z111" s="302"/>
      <c r="AA111" s="302"/>
      <c r="AB111" s="302"/>
      <c r="AC111" s="302"/>
      <c r="AD111" s="302"/>
      <c r="AE111" s="302"/>
    </row>
    <row r="112" spans="1:32" ht="15" customHeight="1" x14ac:dyDescent="0.25">
      <c r="A112" s="333" t="s">
        <v>1135</v>
      </c>
      <c r="B112" s="227" t="s">
        <v>1102</v>
      </c>
      <c r="C112" s="334">
        <v>250</v>
      </c>
      <c r="D112" s="353">
        <v>5.49</v>
      </c>
      <c r="E112" s="353">
        <v>5.27</v>
      </c>
      <c r="F112" s="353">
        <v>7.34</v>
      </c>
      <c r="G112" s="360">
        <v>145.75</v>
      </c>
      <c r="H112" s="260"/>
      <c r="I112" s="260"/>
      <c r="J112" s="260"/>
      <c r="K112" s="260"/>
      <c r="L112" s="260"/>
      <c r="M112" s="260"/>
      <c r="N112" s="260"/>
      <c r="O112" s="260"/>
      <c r="P112" s="260"/>
      <c r="Q112" s="260"/>
      <c r="S112" s="302"/>
      <c r="T112" s="302"/>
      <c r="U112" s="302"/>
      <c r="V112" s="302"/>
      <c r="W112" s="302"/>
      <c r="X112" s="302"/>
      <c r="Y112" s="302"/>
      <c r="Z112" s="302"/>
      <c r="AA112" s="302"/>
      <c r="AB112" s="302"/>
      <c r="AC112" s="302"/>
      <c r="AD112" s="302"/>
      <c r="AE112" s="302"/>
    </row>
    <row r="113" spans="1:32" s="85" customFormat="1" ht="20.25" hidden="1" customHeight="1" x14ac:dyDescent="0.25">
      <c r="A113" s="333"/>
      <c r="B113" s="336"/>
      <c r="C113" s="334"/>
      <c r="D113" s="335"/>
      <c r="E113" s="335"/>
      <c r="F113" s="335"/>
      <c r="G113" s="338"/>
      <c r="H113" s="258"/>
      <c r="I113" s="258"/>
      <c r="J113" s="258"/>
      <c r="K113" s="258"/>
      <c r="L113" s="258"/>
      <c r="M113" s="258"/>
      <c r="N113" s="258"/>
      <c r="O113" s="258"/>
      <c r="P113" s="258"/>
      <c r="Q113" s="258"/>
      <c r="S113" s="295"/>
      <c r="T113" s="295"/>
      <c r="U113" s="295"/>
      <c r="V113" s="295"/>
      <c r="W113" s="295"/>
      <c r="X113" s="295"/>
      <c r="Y113" s="295"/>
      <c r="Z113" s="295"/>
      <c r="AA113" s="295"/>
      <c r="AB113" s="295"/>
      <c r="AC113" s="295"/>
      <c r="AD113" s="295"/>
      <c r="AE113" s="295"/>
    </row>
    <row r="114" spans="1:32" s="374" customFormat="1" ht="20.25" customHeight="1" x14ac:dyDescent="0.25">
      <c r="A114" s="333" t="s">
        <v>1136</v>
      </c>
      <c r="B114" s="227" t="s">
        <v>1044</v>
      </c>
      <c r="C114" s="334">
        <v>180</v>
      </c>
      <c r="D114" s="335">
        <v>3.2</v>
      </c>
      <c r="E114" s="335">
        <v>6.24</v>
      </c>
      <c r="F114" s="335">
        <v>29.8</v>
      </c>
      <c r="G114" s="338">
        <v>269.39999999999998</v>
      </c>
      <c r="H114" s="373"/>
      <c r="I114" s="373"/>
      <c r="J114" s="373"/>
      <c r="K114" s="373"/>
      <c r="L114" s="373"/>
      <c r="M114" s="373"/>
      <c r="N114" s="373"/>
      <c r="O114" s="373"/>
      <c r="P114" s="373"/>
      <c r="Q114" s="373"/>
      <c r="S114" s="295"/>
      <c r="T114" s="295"/>
      <c r="U114" s="295"/>
      <c r="V114" s="295"/>
      <c r="W114" s="295"/>
      <c r="X114" s="295"/>
      <c r="Y114" s="295"/>
      <c r="Z114" s="295"/>
      <c r="AA114" s="295"/>
      <c r="AB114" s="295"/>
      <c r="AC114" s="295"/>
      <c r="AD114" s="295"/>
      <c r="AE114" s="295"/>
    </row>
    <row r="115" spans="1:32" s="85" customFormat="1" ht="15" customHeight="1" x14ac:dyDescent="0.25">
      <c r="A115" s="333" t="s">
        <v>1137</v>
      </c>
      <c r="B115" s="227" t="s">
        <v>395</v>
      </c>
      <c r="C115" s="334">
        <v>100</v>
      </c>
      <c r="D115" s="353">
        <v>9.6300000000000008</v>
      </c>
      <c r="E115" s="353">
        <v>7.43</v>
      </c>
      <c r="F115" s="353">
        <v>13.7</v>
      </c>
      <c r="G115" s="360">
        <v>158.1</v>
      </c>
      <c r="H115" s="259"/>
      <c r="I115" s="259"/>
      <c r="J115" s="259"/>
      <c r="K115" s="259"/>
      <c r="L115" s="259"/>
      <c r="M115" s="259"/>
      <c r="N115" s="259"/>
      <c r="O115" s="259"/>
      <c r="P115" s="259"/>
      <c r="Q115" s="259"/>
      <c r="S115" s="295"/>
      <c r="T115" s="295"/>
      <c r="U115" s="295"/>
      <c r="V115" s="295"/>
      <c r="W115" s="295"/>
      <c r="X115" s="295"/>
      <c r="Y115" s="295"/>
      <c r="Z115" s="295"/>
      <c r="AA115" s="295"/>
      <c r="AB115" s="295"/>
      <c r="AC115" s="295"/>
      <c r="AD115" s="295"/>
      <c r="AE115" s="295"/>
    </row>
    <row r="116" spans="1:32" s="85" customFormat="1" ht="15" customHeight="1" x14ac:dyDescent="0.25">
      <c r="A116" s="333" t="str">
        <f>VLOOKUP($B116, выпечка!$A$1:$R$52, 17, FALSE)</f>
        <v>ПР</v>
      </c>
      <c r="B116" s="336" t="s">
        <v>52</v>
      </c>
      <c r="C116" s="352">
        <v>60</v>
      </c>
      <c r="D116" s="353">
        <v>4.5999999999999996</v>
      </c>
      <c r="E116" s="353">
        <v>0.5</v>
      </c>
      <c r="F116" s="353">
        <v>29.5</v>
      </c>
      <c r="G116" s="353">
        <v>140.6</v>
      </c>
      <c r="H116" s="258"/>
      <c r="I116" s="258"/>
      <c r="J116" s="258"/>
      <c r="K116" s="258"/>
      <c r="L116" s="258"/>
      <c r="M116" s="258"/>
      <c r="N116" s="258"/>
      <c r="O116" s="258"/>
      <c r="P116" s="258"/>
      <c r="Q116" s="258"/>
      <c r="S116" s="295"/>
      <c r="T116" s="295"/>
      <c r="U116" s="295"/>
      <c r="V116" s="295"/>
      <c r="W116" s="295"/>
      <c r="X116" s="295"/>
      <c r="Y116" s="295"/>
      <c r="Z116" s="295"/>
      <c r="AA116" s="295"/>
      <c r="AB116" s="295"/>
      <c r="AC116" s="295"/>
      <c r="AD116" s="295"/>
      <c r="AE116" s="295"/>
    </row>
    <row r="117" spans="1:32" s="85" customFormat="1" ht="15" customHeight="1" x14ac:dyDescent="0.25">
      <c r="A117" s="333" t="str">
        <f>VLOOKUP($B117, выпечка!$A$1:$R$52, 17, FALSE)</f>
        <v>ПР</v>
      </c>
      <c r="B117" s="227" t="s">
        <v>53</v>
      </c>
      <c r="C117" s="323">
        <v>40</v>
      </c>
      <c r="D117" s="353">
        <v>2.67</v>
      </c>
      <c r="E117" s="353">
        <v>0.53</v>
      </c>
      <c r="F117" s="353">
        <v>13.33</v>
      </c>
      <c r="G117" s="353">
        <v>45.98</v>
      </c>
      <c r="H117" s="260"/>
      <c r="I117" s="260"/>
      <c r="J117" s="260"/>
      <c r="K117" s="260"/>
      <c r="L117" s="260"/>
      <c r="M117" s="260"/>
      <c r="N117" s="260"/>
      <c r="O117" s="260"/>
      <c r="P117" s="260"/>
      <c r="Q117" s="260"/>
      <c r="S117" s="297"/>
      <c r="T117" s="37"/>
      <c r="U117" s="37"/>
      <c r="V117" s="37"/>
      <c r="W117" s="37"/>
      <c r="X117" s="297"/>
      <c r="Y117" s="297"/>
      <c r="Z117" s="37"/>
      <c r="AA117" s="37"/>
      <c r="AB117" s="37"/>
      <c r="AC117" s="37"/>
      <c r="AD117" s="303"/>
      <c r="AE117" s="303"/>
      <c r="AF117" s="63"/>
    </row>
    <row r="118" spans="1:32" s="331" customFormat="1" ht="15" customHeight="1" x14ac:dyDescent="0.25">
      <c r="A118" s="333" t="s">
        <v>1085</v>
      </c>
      <c r="B118" s="336" t="s">
        <v>55</v>
      </c>
      <c r="C118" s="334">
        <v>200</v>
      </c>
      <c r="D118" s="335">
        <v>0.1</v>
      </c>
      <c r="E118" s="335">
        <v>0.1</v>
      </c>
      <c r="F118" s="335">
        <v>5.7</v>
      </c>
      <c r="G118" s="335">
        <v>66.900000000000006</v>
      </c>
      <c r="H118" s="260"/>
      <c r="I118" s="260"/>
      <c r="J118" s="260"/>
      <c r="K118" s="260"/>
      <c r="L118" s="260"/>
      <c r="M118" s="260"/>
      <c r="N118" s="260"/>
      <c r="O118" s="260"/>
      <c r="P118" s="260"/>
      <c r="Q118" s="260"/>
      <c r="S118" s="297"/>
      <c r="T118" s="37"/>
      <c r="U118" s="37"/>
      <c r="V118" s="37"/>
      <c r="W118" s="37"/>
      <c r="X118" s="297"/>
      <c r="Y118" s="297"/>
      <c r="Z118" s="37"/>
      <c r="AA118" s="37"/>
      <c r="AB118" s="37"/>
      <c r="AC118" s="37"/>
      <c r="AD118" s="303"/>
      <c r="AE118" s="303"/>
      <c r="AF118" s="330"/>
    </row>
    <row r="119" spans="1:32" s="378" customFormat="1" ht="15" customHeight="1" x14ac:dyDescent="0.25">
      <c r="A119" s="333"/>
      <c r="B119" s="337" t="s">
        <v>100</v>
      </c>
      <c r="C119" s="379">
        <f>C118+C117+C116+C115+C114+C112+C111</f>
        <v>930</v>
      </c>
      <c r="D119" s="379">
        <f t="shared" ref="D119:G119" si="11">D118+D117+D116+D115+D114+D112+D111</f>
        <v>26.49</v>
      </c>
      <c r="E119" s="379">
        <f t="shared" si="11"/>
        <v>22.77</v>
      </c>
      <c r="F119" s="379">
        <f>F118+F117+F116+F115+F114+F112+F111</f>
        <v>103.97</v>
      </c>
      <c r="G119" s="379">
        <f t="shared" si="11"/>
        <v>872.33</v>
      </c>
      <c r="H119" s="260"/>
      <c r="I119" s="260"/>
      <c r="J119" s="260"/>
      <c r="K119" s="260"/>
      <c r="L119" s="260"/>
      <c r="M119" s="260"/>
      <c r="N119" s="260"/>
      <c r="O119" s="260"/>
      <c r="P119" s="260"/>
      <c r="Q119" s="260"/>
      <c r="S119" s="297"/>
      <c r="T119" s="37"/>
      <c r="U119" s="37"/>
      <c r="V119" s="37"/>
      <c r="W119" s="37"/>
      <c r="X119" s="297"/>
      <c r="Y119" s="297"/>
      <c r="Z119" s="37"/>
      <c r="AA119" s="37"/>
      <c r="AB119" s="37"/>
      <c r="AC119" s="37"/>
      <c r="AD119" s="303"/>
      <c r="AE119" s="303"/>
      <c r="AF119" s="377"/>
    </row>
    <row r="120" spans="1:32" ht="15" customHeight="1" x14ac:dyDescent="0.25">
      <c r="A120" s="324"/>
      <c r="B120" s="337" t="s">
        <v>143</v>
      </c>
      <c r="C120" s="325"/>
      <c r="D120" s="325">
        <f>D119+D109</f>
        <v>50.199999999999996</v>
      </c>
      <c r="E120" s="325">
        <f t="shared" ref="E120:G120" si="12">E119+E109</f>
        <v>48</v>
      </c>
      <c r="F120" s="325">
        <f t="shared" si="12"/>
        <v>201.05</v>
      </c>
      <c r="G120" s="325">
        <f t="shared" si="12"/>
        <v>1509.42</v>
      </c>
      <c r="H120" s="260"/>
      <c r="I120" s="260"/>
      <c r="J120" s="260"/>
      <c r="K120" s="260"/>
      <c r="L120" s="260"/>
      <c r="M120" s="260"/>
      <c r="N120" s="260"/>
      <c r="O120" s="260"/>
      <c r="P120" s="260"/>
      <c r="Q120" s="260"/>
      <c r="S120" s="304"/>
      <c r="T120" s="286"/>
      <c r="U120" s="286"/>
      <c r="V120" s="286"/>
      <c r="W120" s="297"/>
      <c r="X120" s="297"/>
      <c r="Y120" s="298"/>
      <c r="Z120" s="37"/>
      <c r="AA120" s="37"/>
      <c r="AB120" s="286"/>
      <c r="AC120" s="286"/>
      <c r="AD120" s="305"/>
      <c r="AE120" s="286"/>
    </row>
    <row r="121" spans="1:32" ht="15" hidden="1" customHeight="1" x14ac:dyDescent="0.25">
      <c r="A121" s="340"/>
      <c r="B121" s="404"/>
      <c r="C121" s="405"/>
      <c r="D121" s="405"/>
      <c r="E121" s="405"/>
      <c r="F121" s="405"/>
      <c r="G121" s="405"/>
      <c r="H121" s="405"/>
      <c r="I121" s="260"/>
      <c r="J121" s="260"/>
      <c r="K121" s="260"/>
      <c r="L121" s="260"/>
      <c r="M121" s="260"/>
      <c r="N121" s="260"/>
      <c r="O121" s="260"/>
      <c r="P121" s="260"/>
      <c r="Q121" s="260"/>
      <c r="S121" s="304"/>
      <c r="T121" s="286"/>
      <c r="U121" s="286"/>
      <c r="V121" s="286"/>
      <c r="W121" s="297"/>
      <c r="X121" s="297"/>
      <c r="Y121" s="298"/>
      <c r="Z121" s="37"/>
      <c r="AA121" s="37"/>
      <c r="AB121" s="286"/>
      <c r="AC121" s="286"/>
      <c r="AD121" s="305"/>
      <c r="AE121" s="286"/>
    </row>
    <row r="122" spans="1:32" ht="15" hidden="1" customHeight="1" x14ac:dyDescent="0.25">
      <c r="A122" s="340"/>
      <c r="B122" s="386"/>
      <c r="C122" s="396"/>
      <c r="D122" s="396"/>
      <c r="E122" s="396"/>
      <c r="F122" s="396"/>
      <c r="G122" s="396"/>
      <c r="H122" s="260"/>
      <c r="I122" s="260"/>
      <c r="J122" s="260"/>
      <c r="K122" s="260"/>
      <c r="L122" s="260"/>
      <c r="M122" s="260"/>
      <c r="N122" s="260"/>
      <c r="O122" s="260"/>
      <c r="P122" s="260"/>
      <c r="Q122" s="260"/>
      <c r="S122" s="304"/>
      <c r="T122" s="286"/>
      <c r="U122" s="286"/>
      <c r="V122" s="286"/>
      <c r="W122" s="297"/>
      <c r="X122" s="297"/>
      <c r="Y122" s="298"/>
      <c r="Z122" s="37"/>
      <c r="AA122" s="37"/>
      <c r="AB122" s="286"/>
      <c r="AC122" s="286"/>
      <c r="AD122" s="305"/>
      <c r="AE122" s="286"/>
    </row>
    <row r="123" spans="1:32" ht="15" hidden="1" customHeight="1" x14ac:dyDescent="0.25">
      <c r="A123" s="349"/>
      <c r="B123" s="336"/>
      <c r="C123" s="334"/>
      <c r="D123" s="322"/>
      <c r="E123" s="322"/>
      <c r="F123" s="322"/>
      <c r="G123" s="338"/>
      <c r="H123" s="260"/>
      <c r="I123" s="260"/>
      <c r="J123" s="260"/>
      <c r="K123" s="260"/>
      <c r="L123" s="260"/>
      <c r="M123" s="260"/>
      <c r="N123" s="260"/>
      <c r="O123" s="260"/>
      <c r="P123" s="260"/>
      <c r="Q123" s="260"/>
      <c r="S123" s="304"/>
      <c r="T123" s="286"/>
      <c r="U123" s="286"/>
      <c r="V123" s="286"/>
      <c r="W123" s="297"/>
      <c r="X123" s="297"/>
      <c r="Y123" s="298"/>
      <c r="Z123" s="37"/>
      <c r="AA123" s="37"/>
      <c r="AB123" s="286"/>
      <c r="AC123" s="286"/>
      <c r="AD123" s="305"/>
      <c r="AE123" s="286"/>
    </row>
    <row r="124" spans="1:32" ht="15" hidden="1" customHeight="1" x14ac:dyDescent="0.25">
      <c r="A124" s="349"/>
      <c r="B124" s="227"/>
      <c r="C124" s="334"/>
      <c r="D124" s="353"/>
      <c r="E124" s="353"/>
      <c r="F124" s="353"/>
      <c r="G124" s="360"/>
      <c r="H124" s="260"/>
      <c r="I124" s="260"/>
      <c r="J124" s="260"/>
      <c r="K124" s="260"/>
      <c r="L124" s="260"/>
      <c r="M124" s="260"/>
      <c r="N124" s="260"/>
      <c r="O124" s="260"/>
      <c r="P124" s="260"/>
      <c r="Q124" s="260"/>
      <c r="S124" s="304"/>
      <c r="T124" s="286"/>
      <c r="U124" s="286"/>
      <c r="V124" s="286"/>
      <c r="W124" s="297"/>
      <c r="X124" s="297"/>
      <c r="Y124" s="298"/>
      <c r="Z124" s="37"/>
      <c r="AA124" s="37"/>
      <c r="AB124" s="286"/>
      <c r="AC124" s="286"/>
      <c r="AD124" s="305"/>
      <c r="AE124" s="286"/>
    </row>
    <row r="125" spans="1:32" ht="15" hidden="1" customHeight="1" x14ac:dyDescent="0.25">
      <c r="A125" s="333"/>
      <c r="B125" s="227"/>
      <c r="C125" s="334"/>
      <c r="D125" s="335"/>
      <c r="E125" s="335"/>
      <c r="F125" s="335"/>
      <c r="G125" s="338"/>
      <c r="H125" s="260"/>
      <c r="I125" s="260"/>
      <c r="J125" s="260"/>
      <c r="K125" s="260"/>
      <c r="L125" s="260"/>
      <c r="M125" s="260"/>
      <c r="N125" s="260"/>
      <c r="O125" s="260"/>
      <c r="P125" s="260"/>
      <c r="Q125" s="260"/>
      <c r="S125" s="304"/>
      <c r="T125" s="286"/>
      <c r="U125" s="286"/>
      <c r="V125" s="286"/>
      <c r="W125" s="297"/>
      <c r="X125" s="297"/>
      <c r="Y125" s="298"/>
      <c r="Z125" s="37"/>
      <c r="AA125" s="37"/>
      <c r="AB125" s="286"/>
      <c r="AC125" s="286"/>
      <c r="AD125" s="305"/>
      <c r="AE125" s="286"/>
    </row>
    <row r="126" spans="1:32" ht="15" hidden="1" customHeight="1" x14ac:dyDescent="0.25">
      <c r="A126" s="333"/>
      <c r="B126" s="336"/>
      <c r="C126" s="323"/>
      <c r="D126" s="323"/>
      <c r="E126" s="323"/>
      <c r="F126" s="323"/>
      <c r="G126" s="323"/>
      <c r="H126" s="260"/>
      <c r="I126" s="260"/>
      <c r="J126" s="260"/>
      <c r="K126" s="260"/>
      <c r="L126" s="260"/>
      <c r="M126" s="260"/>
      <c r="N126" s="260"/>
      <c r="O126" s="260"/>
      <c r="P126" s="260"/>
      <c r="Q126" s="260"/>
      <c r="S126" s="304"/>
      <c r="T126" s="286"/>
      <c r="U126" s="286"/>
      <c r="V126" s="286"/>
      <c r="W126" s="297"/>
      <c r="X126" s="297"/>
      <c r="Y126" s="298"/>
      <c r="Z126" s="37"/>
      <c r="AA126" s="37"/>
      <c r="AB126" s="286"/>
      <c r="AC126" s="286"/>
      <c r="AD126" s="305"/>
      <c r="AE126" s="286"/>
    </row>
    <row r="127" spans="1:32" ht="15" hidden="1" customHeight="1" x14ac:dyDescent="0.25">
      <c r="A127" s="333"/>
      <c r="B127" s="227"/>
      <c r="C127" s="323"/>
      <c r="D127" s="323"/>
      <c r="E127" s="323"/>
      <c r="F127" s="323"/>
      <c r="G127" s="323"/>
      <c r="H127" s="260"/>
      <c r="I127" s="260"/>
      <c r="J127" s="260"/>
      <c r="K127" s="260"/>
      <c r="L127" s="260"/>
      <c r="M127" s="260"/>
      <c r="N127" s="260"/>
      <c r="O127" s="260"/>
      <c r="P127" s="260"/>
      <c r="Q127" s="260"/>
      <c r="S127" s="304"/>
      <c r="T127" s="286"/>
      <c r="U127" s="286"/>
      <c r="V127" s="286"/>
      <c r="W127" s="297"/>
      <c r="X127" s="297"/>
      <c r="Y127" s="298"/>
      <c r="Z127" s="37"/>
      <c r="AA127" s="37"/>
      <c r="AB127" s="286"/>
      <c r="AC127" s="286"/>
      <c r="AD127" s="305"/>
      <c r="AE127" s="286"/>
    </row>
    <row r="128" spans="1:32" ht="15" hidden="1" customHeight="1" x14ac:dyDescent="0.25">
      <c r="A128" s="333"/>
      <c r="B128" s="336"/>
      <c r="C128" s="334"/>
      <c r="D128" s="335"/>
      <c r="E128" s="335"/>
      <c r="F128" s="335"/>
      <c r="G128" s="335"/>
      <c r="H128" s="260"/>
      <c r="I128" s="260"/>
      <c r="J128" s="260"/>
      <c r="K128" s="260"/>
      <c r="L128" s="260"/>
      <c r="M128" s="260"/>
      <c r="N128" s="260"/>
      <c r="O128" s="260"/>
      <c r="P128" s="260"/>
      <c r="Q128" s="260"/>
      <c r="S128" s="304"/>
      <c r="T128" s="286"/>
      <c r="U128" s="286"/>
      <c r="V128" s="286"/>
      <c r="W128" s="297"/>
      <c r="X128" s="297"/>
      <c r="Y128" s="298"/>
      <c r="Z128" s="37"/>
      <c r="AA128" s="37"/>
      <c r="AB128" s="286"/>
      <c r="AC128" s="286"/>
      <c r="AD128" s="305"/>
      <c r="AE128" s="286"/>
    </row>
    <row r="129" spans="1:31" ht="15" hidden="1" customHeight="1" x14ac:dyDescent="0.25">
      <c r="A129" s="340"/>
      <c r="B129" s="337"/>
      <c r="C129" s="396"/>
      <c r="D129" s="396"/>
      <c r="E129" s="396"/>
      <c r="F129" s="396"/>
      <c r="G129" s="396"/>
      <c r="H129" s="260"/>
      <c r="I129" s="260"/>
      <c r="J129" s="260"/>
      <c r="K129" s="260"/>
      <c r="L129" s="260"/>
      <c r="M129" s="260"/>
      <c r="N129" s="260"/>
      <c r="O129" s="260"/>
      <c r="P129" s="260"/>
      <c r="Q129" s="260"/>
      <c r="S129" s="304"/>
      <c r="T129" s="286"/>
      <c r="U129" s="286"/>
      <c r="V129" s="286"/>
      <c r="W129" s="297"/>
      <c r="X129" s="297"/>
      <c r="Y129" s="298"/>
      <c r="Z129" s="37"/>
      <c r="AA129" s="37"/>
      <c r="AB129" s="286"/>
      <c r="AC129" s="286"/>
      <c r="AD129" s="305"/>
      <c r="AE129" s="286"/>
    </row>
    <row r="130" spans="1:31" ht="15" hidden="1" customHeight="1" x14ac:dyDescent="0.25">
      <c r="A130" s="340"/>
      <c r="B130" s="386"/>
      <c r="C130" s="396"/>
      <c r="D130" s="396"/>
      <c r="E130" s="396"/>
      <c r="F130" s="396"/>
      <c r="G130" s="396"/>
      <c r="H130" s="260"/>
      <c r="I130" s="260"/>
      <c r="J130" s="260"/>
      <c r="K130" s="260"/>
      <c r="L130" s="260"/>
      <c r="M130" s="260"/>
      <c r="N130" s="260"/>
      <c r="O130" s="260"/>
      <c r="P130" s="260"/>
      <c r="Q130" s="260"/>
      <c r="S130" s="304"/>
      <c r="T130" s="286"/>
      <c r="U130" s="286"/>
      <c r="V130" s="286"/>
      <c r="W130" s="297"/>
      <c r="X130" s="297"/>
      <c r="Y130" s="298"/>
      <c r="Z130" s="37"/>
      <c r="AA130" s="37"/>
      <c r="AB130" s="286"/>
      <c r="AC130" s="286"/>
      <c r="AD130" s="305"/>
      <c r="AE130" s="286"/>
    </row>
    <row r="131" spans="1:31" ht="15" hidden="1" customHeight="1" x14ac:dyDescent="0.25">
      <c r="A131" s="333"/>
      <c r="B131" s="336"/>
      <c r="C131" s="323"/>
      <c r="D131" s="322"/>
      <c r="E131" s="322"/>
      <c r="F131" s="322"/>
      <c r="G131" s="322"/>
      <c r="H131" s="260"/>
      <c r="I131" s="260"/>
      <c r="J131" s="260"/>
      <c r="K131" s="260"/>
      <c r="L131" s="260"/>
      <c r="M131" s="260"/>
      <c r="N131" s="260"/>
      <c r="O131" s="260"/>
      <c r="P131" s="260"/>
      <c r="Q131" s="260"/>
      <c r="S131" s="304"/>
      <c r="T131" s="286"/>
      <c r="U131" s="286"/>
      <c r="V131" s="286"/>
      <c r="W131" s="297"/>
      <c r="X131" s="297"/>
      <c r="Y131" s="298"/>
      <c r="Z131" s="37"/>
      <c r="AA131" s="37"/>
      <c r="AB131" s="286"/>
      <c r="AC131" s="286"/>
      <c r="AD131" s="305"/>
      <c r="AE131" s="286"/>
    </row>
    <row r="132" spans="1:31" ht="15" hidden="1" customHeight="1" x14ac:dyDescent="0.25">
      <c r="A132" s="333"/>
      <c r="B132" s="227"/>
      <c r="C132" s="334"/>
      <c r="D132" s="353"/>
      <c r="E132" s="353"/>
      <c r="F132" s="353"/>
      <c r="G132" s="360"/>
      <c r="H132" s="260"/>
      <c r="I132" s="260"/>
      <c r="J132" s="260"/>
      <c r="K132" s="260"/>
      <c r="L132" s="260"/>
      <c r="M132" s="260"/>
      <c r="N132" s="260"/>
      <c r="O132" s="260"/>
      <c r="P132" s="260"/>
      <c r="Q132" s="260"/>
      <c r="S132" s="304"/>
      <c r="T132" s="286"/>
      <c r="U132" s="286"/>
      <c r="V132" s="286"/>
      <c r="W132" s="297"/>
      <c r="X132" s="297"/>
      <c r="Y132" s="298"/>
      <c r="Z132" s="37"/>
      <c r="AA132" s="37"/>
      <c r="AB132" s="286"/>
      <c r="AC132" s="286"/>
      <c r="AD132" s="305"/>
      <c r="AE132" s="286"/>
    </row>
    <row r="133" spans="1:31" ht="15" hidden="1" customHeight="1" x14ac:dyDescent="0.25">
      <c r="A133" s="333"/>
      <c r="B133" s="227"/>
      <c r="C133" s="334"/>
      <c r="D133" s="335"/>
      <c r="E133" s="335"/>
      <c r="F133" s="335"/>
      <c r="G133" s="338"/>
      <c r="H133" s="260"/>
      <c r="I133" s="260"/>
      <c r="J133" s="260"/>
      <c r="K133" s="260"/>
      <c r="L133" s="260"/>
      <c r="M133" s="260"/>
      <c r="N133" s="260"/>
      <c r="O133" s="260"/>
      <c r="P133" s="260"/>
      <c r="Q133" s="260"/>
      <c r="S133" s="304"/>
      <c r="T133" s="286"/>
      <c r="U133" s="286"/>
      <c r="V133" s="286"/>
      <c r="W133" s="297"/>
      <c r="X133" s="297"/>
      <c r="Y133" s="298"/>
      <c r="Z133" s="37"/>
      <c r="AA133" s="37"/>
      <c r="AB133" s="286"/>
      <c r="AC133" s="286"/>
      <c r="AD133" s="305"/>
      <c r="AE133" s="286"/>
    </row>
    <row r="134" spans="1:31" ht="15" hidden="1" customHeight="1" x14ac:dyDescent="0.25">
      <c r="A134" s="333"/>
      <c r="B134" s="227"/>
      <c r="C134" s="334"/>
      <c r="D134" s="353"/>
      <c r="E134" s="353"/>
      <c r="F134" s="353"/>
      <c r="G134" s="360"/>
      <c r="H134" s="260"/>
      <c r="I134" s="260"/>
      <c r="J134" s="260"/>
      <c r="K134" s="260"/>
      <c r="L134" s="260"/>
      <c r="M134" s="260"/>
      <c r="N134" s="260"/>
      <c r="O134" s="260"/>
      <c r="P134" s="260"/>
      <c r="Q134" s="260"/>
      <c r="S134" s="304"/>
      <c r="T134" s="286"/>
      <c r="U134" s="286"/>
      <c r="V134" s="286"/>
      <c r="W134" s="297"/>
      <c r="X134" s="297"/>
      <c r="Y134" s="298"/>
      <c r="Z134" s="37"/>
      <c r="AA134" s="37"/>
      <c r="AB134" s="286"/>
      <c r="AC134" s="286"/>
      <c r="AD134" s="305"/>
      <c r="AE134" s="286"/>
    </row>
    <row r="135" spans="1:31" ht="15" hidden="1" customHeight="1" x14ac:dyDescent="0.25">
      <c r="A135" s="333"/>
      <c r="B135" s="336"/>
      <c r="C135" s="352"/>
      <c r="D135" s="353"/>
      <c r="E135" s="353"/>
      <c r="F135" s="353"/>
      <c r="G135" s="353"/>
      <c r="H135" s="260"/>
      <c r="I135" s="260"/>
      <c r="J135" s="260"/>
      <c r="K135" s="260"/>
      <c r="L135" s="260"/>
      <c r="M135" s="260"/>
      <c r="N135" s="260"/>
      <c r="O135" s="260"/>
      <c r="P135" s="260"/>
      <c r="Q135" s="260"/>
      <c r="S135" s="304"/>
      <c r="T135" s="286"/>
      <c r="U135" s="286"/>
      <c r="V135" s="286"/>
      <c r="W135" s="297"/>
      <c r="X135" s="297"/>
      <c r="Y135" s="298"/>
      <c r="Z135" s="37"/>
      <c r="AA135" s="37"/>
      <c r="AB135" s="286"/>
      <c r="AC135" s="286"/>
      <c r="AD135" s="305"/>
      <c r="AE135" s="286"/>
    </row>
    <row r="136" spans="1:31" ht="15" hidden="1" customHeight="1" x14ac:dyDescent="0.25">
      <c r="A136" s="333"/>
      <c r="B136" s="227"/>
      <c r="C136" s="323"/>
      <c r="D136" s="353"/>
      <c r="E136" s="353"/>
      <c r="F136" s="353"/>
      <c r="G136" s="353"/>
      <c r="H136" s="260"/>
      <c r="I136" s="260"/>
      <c r="J136" s="260"/>
      <c r="K136" s="260"/>
      <c r="L136" s="260"/>
      <c r="M136" s="260"/>
      <c r="N136" s="260"/>
      <c r="O136" s="260"/>
      <c r="P136" s="260"/>
      <c r="Q136" s="260"/>
      <c r="S136" s="304"/>
      <c r="T136" s="286"/>
      <c r="U136" s="286"/>
      <c r="V136" s="286"/>
      <c r="W136" s="297"/>
      <c r="X136" s="297"/>
      <c r="Y136" s="298"/>
      <c r="Z136" s="37"/>
      <c r="AA136" s="37"/>
      <c r="AB136" s="286"/>
      <c r="AC136" s="286"/>
      <c r="AD136" s="305"/>
      <c r="AE136" s="286"/>
    </row>
    <row r="137" spans="1:31" ht="15" hidden="1" customHeight="1" x14ac:dyDescent="0.25">
      <c r="A137" s="333"/>
      <c r="B137" s="336"/>
      <c r="C137" s="334"/>
      <c r="D137" s="335"/>
      <c r="E137" s="335"/>
      <c r="F137" s="335"/>
      <c r="G137" s="335"/>
      <c r="H137" s="260"/>
      <c r="I137" s="260"/>
      <c r="J137" s="260"/>
      <c r="K137" s="260"/>
      <c r="L137" s="260"/>
      <c r="M137" s="260"/>
      <c r="N137" s="260"/>
      <c r="O137" s="260"/>
      <c r="P137" s="260"/>
      <c r="Q137" s="260"/>
      <c r="S137" s="304"/>
      <c r="T137" s="286"/>
      <c r="U137" s="286"/>
      <c r="V137" s="286"/>
      <c r="W137" s="297"/>
      <c r="X137" s="297"/>
      <c r="Y137" s="298"/>
      <c r="Z137" s="37"/>
      <c r="AA137" s="37"/>
      <c r="AB137" s="286"/>
      <c r="AC137" s="286"/>
      <c r="AD137" s="305"/>
      <c r="AE137" s="286"/>
    </row>
    <row r="138" spans="1:31" ht="15" hidden="1" customHeight="1" x14ac:dyDescent="0.25">
      <c r="A138" s="333"/>
      <c r="B138" s="337"/>
      <c r="C138" s="379"/>
      <c r="D138" s="379"/>
      <c r="E138" s="379"/>
      <c r="F138" s="379"/>
      <c r="G138" s="379"/>
      <c r="H138" s="260"/>
      <c r="I138" s="260"/>
      <c r="J138" s="260"/>
      <c r="K138" s="260"/>
      <c r="L138" s="260"/>
      <c r="M138" s="260"/>
      <c r="N138" s="260"/>
      <c r="O138" s="260"/>
      <c r="P138" s="260"/>
      <c r="Q138" s="260"/>
      <c r="S138" s="304"/>
      <c r="T138" s="286"/>
      <c r="U138" s="286"/>
      <c r="V138" s="286"/>
      <c r="W138" s="297"/>
      <c r="X138" s="297"/>
      <c r="Y138" s="298"/>
      <c r="Z138" s="37"/>
      <c r="AA138" s="37"/>
      <c r="AB138" s="286"/>
      <c r="AC138" s="286"/>
      <c r="AD138" s="305"/>
      <c r="AE138" s="286"/>
    </row>
    <row r="139" spans="1:31" ht="15" hidden="1" customHeight="1" x14ac:dyDescent="0.25">
      <c r="A139" s="333"/>
      <c r="B139" s="337"/>
      <c r="C139" s="379"/>
      <c r="D139" s="379"/>
      <c r="E139" s="379"/>
      <c r="F139" s="379"/>
      <c r="G139" s="379"/>
      <c r="H139" s="260"/>
      <c r="I139" s="260"/>
      <c r="J139" s="260"/>
      <c r="K139" s="260"/>
      <c r="L139" s="260"/>
      <c r="M139" s="260"/>
      <c r="N139" s="260"/>
      <c r="O139" s="260"/>
      <c r="P139" s="260"/>
      <c r="Q139" s="260"/>
      <c r="S139" s="304"/>
      <c r="T139" s="286"/>
      <c r="U139" s="286"/>
      <c r="V139" s="286"/>
      <c r="W139" s="297"/>
      <c r="X139" s="297"/>
      <c r="Y139" s="298"/>
      <c r="Z139" s="37"/>
      <c r="AA139" s="37"/>
      <c r="AB139" s="286"/>
      <c r="AC139" s="286"/>
      <c r="AD139" s="305"/>
      <c r="AE139" s="286"/>
    </row>
    <row r="140" spans="1:31" ht="15" hidden="1" customHeight="1" x14ac:dyDescent="0.25">
      <c r="A140" s="340"/>
      <c r="B140" s="395"/>
      <c r="C140" s="396"/>
      <c r="D140" s="396"/>
      <c r="E140" s="396"/>
      <c r="F140" s="396"/>
      <c r="G140" s="396"/>
      <c r="H140" s="260"/>
      <c r="I140" s="260"/>
      <c r="J140" s="260"/>
      <c r="K140" s="260"/>
      <c r="L140" s="260"/>
      <c r="M140" s="260"/>
      <c r="N140" s="260"/>
      <c r="O140" s="260"/>
      <c r="P140" s="260"/>
      <c r="Q140" s="260"/>
      <c r="S140" s="304"/>
      <c r="T140" s="286"/>
      <c r="U140" s="286"/>
      <c r="V140" s="286"/>
      <c r="W140" s="297"/>
      <c r="X140" s="297"/>
      <c r="Y140" s="298"/>
      <c r="Z140" s="37"/>
      <c r="AA140" s="37"/>
      <c r="AB140" s="286"/>
      <c r="AC140" s="286"/>
      <c r="AD140" s="305"/>
      <c r="AE140" s="286"/>
    </row>
    <row r="141" spans="1:31" ht="15" customHeight="1" x14ac:dyDescent="0.25">
      <c r="A141" s="404" t="s">
        <v>1069</v>
      </c>
      <c r="B141" s="405"/>
      <c r="C141" s="405"/>
      <c r="D141" s="405"/>
      <c r="E141" s="405"/>
      <c r="F141" s="405"/>
      <c r="G141" s="405"/>
      <c r="H141" s="260"/>
      <c r="I141" s="260"/>
      <c r="J141" s="260"/>
      <c r="K141" s="260"/>
      <c r="L141" s="260"/>
      <c r="M141" s="260"/>
      <c r="N141" s="291"/>
      <c r="O141" s="291"/>
      <c r="P141" s="291"/>
      <c r="Q141" s="291"/>
      <c r="R141" s="302"/>
      <c r="S141" s="307"/>
      <c r="T141" s="285"/>
      <c r="U141" s="285"/>
      <c r="V141" s="285"/>
      <c r="W141" s="285"/>
      <c r="X141" s="297"/>
      <c r="Y141" s="298"/>
      <c r="Z141" s="37"/>
      <c r="AA141" s="37"/>
      <c r="AB141" s="286"/>
      <c r="AC141" s="286"/>
      <c r="AD141" s="305"/>
      <c r="AE141" s="286"/>
    </row>
    <row r="142" spans="1:31" ht="15" customHeight="1" x14ac:dyDescent="0.25">
      <c r="A142" s="341"/>
      <c r="B142" s="342" t="s">
        <v>126</v>
      </c>
      <c r="C142" s="343"/>
      <c r="D142" s="344"/>
      <c r="E142" s="344"/>
      <c r="F142" s="344"/>
      <c r="G142" s="345"/>
      <c r="H142" s="260"/>
      <c r="I142" s="260"/>
      <c r="J142" s="260"/>
      <c r="K142" s="260"/>
      <c r="L142" s="260"/>
      <c r="M142" s="260"/>
      <c r="N142" s="291"/>
      <c r="O142" s="291"/>
      <c r="P142" s="291"/>
      <c r="Q142" s="291"/>
      <c r="R142" s="302"/>
      <c r="S142" s="45"/>
      <c r="T142" s="272"/>
      <c r="U142" s="272"/>
      <c r="V142" s="272"/>
      <c r="W142" s="272"/>
      <c r="X142" s="297"/>
      <c r="Y142" s="298"/>
      <c r="Z142" s="37"/>
      <c r="AA142" s="37"/>
      <c r="AB142" s="286"/>
      <c r="AC142" s="286"/>
      <c r="AD142" s="305"/>
      <c r="AE142" s="286"/>
    </row>
    <row r="143" spans="1:31" ht="15" customHeight="1" x14ac:dyDescent="0.25">
      <c r="A143" s="333" t="s">
        <v>31</v>
      </c>
      <c r="B143" s="350" t="s">
        <v>909</v>
      </c>
      <c r="C143" s="352">
        <v>95</v>
      </c>
      <c r="D143" s="398">
        <v>2.13</v>
      </c>
      <c r="E143" s="398">
        <v>3.12</v>
      </c>
      <c r="F143" s="398">
        <v>4.38</v>
      </c>
      <c r="G143" s="398">
        <v>68.88</v>
      </c>
      <c r="H143" s="284"/>
      <c r="I143" s="284"/>
      <c r="J143" s="284"/>
      <c r="K143" s="284"/>
      <c r="L143" s="284"/>
      <c r="M143" s="284"/>
      <c r="N143" s="284"/>
      <c r="O143" s="291"/>
      <c r="P143" s="291"/>
      <c r="Q143" s="291"/>
      <c r="R143" s="302"/>
      <c r="S143" s="45"/>
      <c r="T143" s="272"/>
      <c r="U143" s="272"/>
      <c r="V143" s="272"/>
      <c r="W143" s="272"/>
      <c r="X143" s="297"/>
      <c r="Y143" s="298"/>
      <c r="Z143" s="37"/>
      <c r="AA143" s="37"/>
      <c r="AB143" s="286"/>
      <c r="AC143" s="286"/>
      <c r="AD143" s="305"/>
      <c r="AE143" s="286"/>
    </row>
    <row r="144" spans="1:31" ht="15" customHeight="1" x14ac:dyDescent="0.25">
      <c r="A144" s="333" t="s">
        <v>31</v>
      </c>
      <c r="B144" s="336" t="s">
        <v>26</v>
      </c>
      <c r="C144" s="352">
        <v>20</v>
      </c>
      <c r="D144" s="322">
        <v>1.45</v>
      </c>
      <c r="E144" s="322">
        <v>0.02</v>
      </c>
      <c r="F144" s="322">
        <v>3.8</v>
      </c>
      <c r="G144" s="322">
        <v>21.33</v>
      </c>
      <c r="H144" s="284"/>
      <c r="I144" s="284"/>
      <c r="J144" s="284"/>
      <c r="K144" s="284"/>
      <c r="L144" s="284"/>
      <c r="M144" s="284"/>
      <c r="N144" s="284"/>
      <c r="O144" s="291"/>
      <c r="P144" s="291"/>
      <c r="Q144" s="291"/>
      <c r="R144" s="302"/>
      <c r="S144" s="45"/>
      <c r="T144" s="272"/>
      <c r="U144" s="272"/>
      <c r="V144" s="272"/>
      <c r="W144" s="272"/>
      <c r="X144" s="297"/>
      <c r="Y144" s="298"/>
      <c r="Z144" s="37"/>
      <c r="AA144" s="37"/>
      <c r="AB144" s="286"/>
      <c r="AC144" s="286"/>
      <c r="AD144" s="305"/>
      <c r="AE144" s="286"/>
    </row>
    <row r="145" spans="1:32" ht="15" customHeight="1" x14ac:dyDescent="0.25">
      <c r="A145" s="333" t="s">
        <v>31</v>
      </c>
      <c r="B145" s="227" t="s">
        <v>1181</v>
      </c>
      <c r="C145" s="352">
        <v>10</v>
      </c>
      <c r="D145" s="322">
        <v>0.15</v>
      </c>
      <c r="E145" s="322">
        <v>10.199999999999999</v>
      </c>
      <c r="F145" s="322">
        <v>0.15</v>
      </c>
      <c r="G145" s="322">
        <v>99.15</v>
      </c>
      <c r="H145" s="260"/>
      <c r="I145" s="260"/>
      <c r="J145" s="260"/>
      <c r="K145" s="260"/>
      <c r="L145" s="260"/>
      <c r="M145" s="260"/>
      <c r="N145" s="291"/>
      <c r="O145" s="293"/>
      <c r="P145" s="293"/>
      <c r="Q145" s="293"/>
      <c r="R145" s="302"/>
      <c r="S145" s="302"/>
      <c r="T145" s="302"/>
      <c r="U145" s="302"/>
      <c r="V145" s="302"/>
      <c r="W145" s="302"/>
      <c r="X145" s="302"/>
      <c r="Y145" s="302"/>
      <c r="Z145" s="302"/>
      <c r="AA145" s="302"/>
      <c r="AB145" s="302"/>
      <c r="AC145" s="302"/>
      <c r="AD145" s="302"/>
      <c r="AE145" s="302"/>
    </row>
    <row r="146" spans="1:32" ht="15" customHeight="1" x14ac:dyDescent="0.25">
      <c r="A146" s="333" t="s">
        <v>1123</v>
      </c>
      <c r="B146" s="336" t="s">
        <v>1141</v>
      </c>
      <c r="C146" s="334">
        <v>200</v>
      </c>
      <c r="D146" s="335">
        <v>8.6</v>
      </c>
      <c r="E146" s="335">
        <v>5.3</v>
      </c>
      <c r="F146" s="335">
        <v>15.3</v>
      </c>
      <c r="G146" s="338">
        <v>172.9</v>
      </c>
      <c r="H146" s="261"/>
      <c r="I146" s="261"/>
      <c r="J146" s="261"/>
      <c r="K146" s="261"/>
      <c r="L146" s="261"/>
      <c r="M146" s="261"/>
      <c r="N146" s="293"/>
      <c r="O146" s="293"/>
      <c r="P146" s="293"/>
      <c r="Q146" s="293"/>
      <c r="R146" s="302"/>
      <c r="S146" s="302"/>
      <c r="T146" s="302"/>
      <c r="U146" s="302"/>
      <c r="V146" s="302"/>
      <c r="W146" s="302"/>
      <c r="X146" s="302"/>
      <c r="Y146" s="302"/>
      <c r="Z146" s="302"/>
      <c r="AA146" s="302"/>
      <c r="AB146" s="302"/>
      <c r="AC146" s="302"/>
      <c r="AD146" s="302"/>
      <c r="AE146" s="302"/>
    </row>
    <row r="147" spans="1:32" ht="15" customHeight="1" x14ac:dyDescent="0.25">
      <c r="A147" s="333" t="str">
        <f>VLOOKUP($B147, выпечка!$A$1:$R$52, 17, FALSE)</f>
        <v>ПР</v>
      </c>
      <c r="B147" s="336" t="s">
        <v>52</v>
      </c>
      <c r="C147" s="323">
        <v>50</v>
      </c>
      <c r="D147" s="323">
        <v>3.75</v>
      </c>
      <c r="E147" s="323">
        <v>0.38</v>
      </c>
      <c r="F147" s="323">
        <v>24.63</v>
      </c>
      <c r="G147" s="323">
        <v>117.25</v>
      </c>
      <c r="H147" s="282"/>
      <c r="I147" s="282"/>
      <c r="J147" s="282"/>
      <c r="K147" s="282"/>
      <c r="L147" s="282"/>
      <c r="M147" s="282"/>
      <c r="N147" s="297"/>
      <c r="O147" s="297"/>
      <c r="P147" s="297"/>
      <c r="Q147" s="297"/>
      <c r="R147" s="302"/>
      <c r="S147" s="302"/>
      <c r="T147" s="302"/>
      <c r="U147" s="302"/>
      <c r="V147" s="302"/>
      <c r="W147" s="302"/>
      <c r="X147" s="302"/>
      <c r="Y147" s="302"/>
      <c r="Z147" s="302"/>
      <c r="AA147" s="302"/>
      <c r="AB147" s="302"/>
      <c r="AC147" s="302"/>
      <c r="AD147" s="302"/>
      <c r="AE147" s="302"/>
    </row>
    <row r="148" spans="1:32" ht="24.95" customHeight="1" x14ac:dyDescent="0.25">
      <c r="A148" s="333" t="str">
        <f>VLOOKUP($B148, выпечка!$A$1:$R$52, 17, FALSE)</f>
        <v>ПР</v>
      </c>
      <c r="B148" s="227" t="s">
        <v>1026</v>
      </c>
      <c r="C148" s="352">
        <v>30</v>
      </c>
      <c r="D148" s="353">
        <v>2.41</v>
      </c>
      <c r="E148" s="353">
        <v>0.37</v>
      </c>
      <c r="F148" s="353">
        <v>14.62</v>
      </c>
      <c r="G148" s="353">
        <v>72.33</v>
      </c>
      <c r="H148" s="260"/>
      <c r="I148" s="260"/>
      <c r="J148" s="260"/>
      <c r="K148" s="260"/>
      <c r="L148" s="260"/>
      <c r="M148" s="260"/>
      <c r="N148" s="291"/>
      <c r="O148" s="291"/>
      <c r="P148" s="291"/>
      <c r="Q148" s="291"/>
      <c r="R148" s="302"/>
      <c r="S148" s="302"/>
      <c r="T148" s="302"/>
      <c r="U148" s="302"/>
      <c r="V148" s="302"/>
      <c r="W148" s="302"/>
      <c r="X148" s="302"/>
      <c r="Y148" s="302"/>
      <c r="Z148" s="302"/>
      <c r="AA148" s="302"/>
      <c r="AB148" s="302"/>
      <c r="AC148" s="302"/>
      <c r="AD148" s="302"/>
      <c r="AE148" s="302"/>
    </row>
    <row r="149" spans="1:32" ht="15" customHeight="1" x14ac:dyDescent="0.25">
      <c r="A149" s="333" t="s">
        <v>31</v>
      </c>
      <c r="B149" s="336" t="s">
        <v>907</v>
      </c>
      <c r="C149" s="352">
        <v>100</v>
      </c>
      <c r="D149" s="322">
        <v>0.4</v>
      </c>
      <c r="E149" s="322">
        <v>0.4</v>
      </c>
      <c r="F149" s="322">
        <v>9.8000000000000007</v>
      </c>
      <c r="G149" s="322">
        <v>44.4</v>
      </c>
      <c r="H149" s="260"/>
      <c r="I149" s="260"/>
      <c r="J149" s="260"/>
      <c r="K149" s="260"/>
      <c r="L149" s="260"/>
      <c r="M149" s="260"/>
      <c r="N149" s="291"/>
      <c r="O149" s="291"/>
      <c r="P149" s="291"/>
      <c r="Q149" s="291"/>
      <c r="R149" s="302"/>
      <c r="S149" s="302"/>
      <c r="T149" s="302"/>
      <c r="U149" s="302"/>
      <c r="V149" s="302"/>
      <c r="W149" s="302"/>
      <c r="X149" s="302"/>
      <c r="Y149" s="302"/>
      <c r="Z149" s="302"/>
      <c r="AA149" s="302"/>
      <c r="AB149" s="302"/>
      <c r="AC149" s="302"/>
      <c r="AD149" s="302"/>
      <c r="AE149" s="302"/>
    </row>
    <row r="150" spans="1:32" ht="15" customHeight="1" x14ac:dyDescent="0.25">
      <c r="A150" s="324" t="s">
        <v>1174</v>
      </c>
      <c r="B150" s="227" t="s">
        <v>162</v>
      </c>
      <c r="C150" s="323">
        <f>VLOOKUP($B150,[2]Напитки!$A$5:$Q$34,2,FALSE)</f>
        <v>200</v>
      </c>
      <c r="D150" s="335">
        <v>3.8</v>
      </c>
      <c r="E150" s="335">
        <v>2.9</v>
      </c>
      <c r="F150" s="335">
        <v>11.3</v>
      </c>
      <c r="G150" s="338">
        <v>86</v>
      </c>
      <c r="H150" s="260"/>
      <c r="I150" s="260"/>
      <c r="J150" s="260"/>
      <c r="K150" s="260"/>
      <c r="L150" s="260"/>
      <c r="M150" s="260"/>
      <c r="N150" s="291"/>
      <c r="O150" s="291"/>
      <c r="P150" s="291"/>
      <c r="Q150" s="291"/>
      <c r="R150" s="302"/>
      <c r="S150" s="302"/>
      <c r="T150" s="302"/>
      <c r="U150" s="302"/>
      <c r="V150" s="302"/>
      <c r="W150" s="302"/>
      <c r="X150" s="302"/>
      <c r="Y150" s="302"/>
      <c r="Z150" s="302"/>
      <c r="AA150" s="302"/>
      <c r="AB150" s="302"/>
      <c r="AC150" s="302"/>
      <c r="AD150" s="302"/>
      <c r="AE150" s="302"/>
    </row>
    <row r="151" spans="1:32" ht="15" customHeight="1" x14ac:dyDescent="0.25">
      <c r="A151" s="324"/>
      <c r="B151" s="337" t="s">
        <v>100</v>
      </c>
      <c r="C151" s="334">
        <f>SUM(C143:C150)</f>
        <v>705</v>
      </c>
      <c r="D151" s="325">
        <f>SUM(D143:D150)</f>
        <v>22.689999999999998</v>
      </c>
      <c r="E151" s="325">
        <f>SUM(E143:E150)</f>
        <v>22.689999999999998</v>
      </c>
      <c r="F151" s="325">
        <f>SUM(F143:F150)</f>
        <v>83.98</v>
      </c>
      <c r="G151" s="325">
        <f>SUM(G143:G150)</f>
        <v>682.24</v>
      </c>
      <c r="H151" s="260"/>
      <c r="I151" s="260"/>
      <c r="J151" s="260"/>
      <c r="K151" s="260"/>
      <c r="L151" s="260"/>
      <c r="M151" s="260"/>
      <c r="N151" s="291"/>
      <c r="O151" s="291"/>
      <c r="P151" s="291"/>
      <c r="Q151" s="291"/>
      <c r="R151" s="302"/>
      <c r="S151" s="302"/>
      <c r="T151" s="302"/>
      <c r="U151" s="302"/>
      <c r="V151" s="302"/>
      <c r="W151" s="302"/>
      <c r="X151" s="302"/>
      <c r="Y151" s="302"/>
      <c r="Z151" s="302"/>
      <c r="AA151" s="302"/>
      <c r="AB151" s="302"/>
      <c r="AC151" s="302"/>
      <c r="AD151" s="302"/>
      <c r="AE151" s="302"/>
    </row>
    <row r="152" spans="1:32" ht="15" customHeight="1" x14ac:dyDescent="0.25">
      <c r="A152" s="324"/>
      <c r="B152" s="329" t="s">
        <v>127</v>
      </c>
      <c r="C152" s="324"/>
      <c r="D152" s="324"/>
      <c r="E152" s="324"/>
      <c r="F152" s="324"/>
      <c r="G152" s="340"/>
      <c r="H152" s="260"/>
      <c r="I152" s="260"/>
      <c r="J152" s="260"/>
      <c r="K152" s="260"/>
      <c r="L152" s="260"/>
      <c r="M152" s="260"/>
      <c r="N152" s="291"/>
      <c r="O152" s="291"/>
      <c r="P152" s="291"/>
      <c r="Q152" s="291"/>
      <c r="R152" s="302"/>
      <c r="S152" s="302"/>
      <c r="T152" s="302"/>
      <c r="U152" s="302"/>
      <c r="V152" s="302"/>
      <c r="W152" s="302"/>
      <c r="X152" s="302"/>
      <c r="Y152" s="302"/>
      <c r="Z152" s="302"/>
      <c r="AA152" s="302"/>
      <c r="AB152" s="302"/>
      <c r="AC152" s="302"/>
      <c r="AD152" s="302"/>
      <c r="AE152" s="302"/>
    </row>
    <row r="153" spans="1:32" ht="15" customHeight="1" x14ac:dyDescent="0.25">
      <c r="A153" s="346" t="s">
        <v>1175</v>
      </c>
      <c r="B153" s="227" t="s">
        <v>1100</v>
      </c>
      <c r="C153" s="334">
        <v>100</v>
      </c>
      <c r="D153" s="322">
        <v>0.8</v>
      </c>
      <c r="E153" s="322">
        <v>5.3</v>
      </c>
      <c r="F153" s="322">
        <v>5.9</v>
      </c>
      <c r="G153" s="322">
        <v>74.7</v>
      </c>
      <c r="H153" s="260"/>
      <c r="I153" s="260"/>
      <c r="J153" s="260"/>
      <c r="K153" s="260"/>
      <c r="L153" s="260"/>
      <c r="M153" s="260"/>
      <c r="N153" s="291"/>
      <c r="O153" s="291"/>
      <c r="P153" s="291"/>
      <c r="Q153" s="291"/>
      <c r="R153" s="302"/>
      <c r="S153" s="302"/>
      <c r="T153" s="302"/>
      <c r="U153" s="302"/>
      <c r="V153" s="302"/>
      <c r="W153" s="302"/>
      <c r="X153" s="302"/>
      <c r="Y153" s="302"/>
      <c r="Z153" s="302"/>
      <c r="AA153" s="302"/>
      <c r="AB153" s="302"/>
      <c r="AC153" s="302"/>
      <c r="AD153" s="302"/>
      <c r="AE153" s="302"/>
    </row>
    <row r="154" spans="1:32" s="85" customFormat="1" ht="22.5" customHeight="1" x14ac:dyDescent="0.25">
      <c r="A154" s="346" t="s">
        <v>1121</v>
      </c>
      <c r="B154" s="227" t="s">
        <v>1130</v>
      </c>
      <c r="C154" s="334">
        <v>250</v>
      </c>
      <c r="D154" s="335">
        <v>1.77</v>
      </c>
      <c r="E154" s="335">
        <v>4.95</v>
      </c>
      <c r="F154" s="335">
        <v>17.899999999999999</v>
      </c>
      <c r="G154" s="335">
        <v>129.75</v>
      </c>
      <c r="H154" s="258"/>
      <c r="I154" s="258"/>
      <c r="J154" s="258"/>
      <c r="K154" s="258"/>
      <c r="L154" s="258"/>
      <c r="M154" s="258"/>
      <c r="N154" s="294"/>
      <c r="O154" s="294"/>
      <c r="P154" s="294"/>
      <c r="Q154" s="294"/>
      <c r="R154" s="295"/>
      <c r="S154" s="295"/>
      <c r="T154" s="295"/>
      <c r="U154" s="295"/>
      <c r="V154" s="295"/>
      <c r="W154" s="295"/>
      <c r="X154" s="295"/>
      <c r="Y154" s="295"/>
      <c r="Z154" s="295"/>
      <c r="AA154" s="295"/>
      <c r="AB154" s="295"/>
      <c r="AC154" s="295"/>
      <c r="AD154" s="295"/>
      <c r="AE154" s="295"/>
    </row>
    <row r="155" spans="1:32" s="85" customFormat="1" ht="15" customHeight="1" thickBot="1" x14ac:dyDescent="0.3">
      <c r="A155" s="333" t="s">
        <v>1143</v>
      </c>
      <c r="B155" s="227" t="s">
        <v>1166</v>
      </c>
      <c r="C155" s="334">
        <v>100</v>
      </c>
      <c r="D155" s="335">
        <v>6.96</v>
      </c>
      <c r="E155" s="335">
        <v>10.01</v>
      </c>
      <c r="F155" s="335">
        <v>11.61</v>
      </c>
      <c r="G155" s="335">
        <v>283</v>
      </c>
      <c r="H155" s="259"/>
      <c r="I155" s="259"/>
      <c r="J155" s="259"/>
      <c r="K155" s="259"/>
      <c r="L155" s="259"/>
      <c r="M155" s="259"/>
      <c r="N155" s="295"/>
      <c r="O155" s="295"/>
      <c r="P155" s="295"/>
      <c r="Q155" s="295"/>
      <c r="R155" s="295"/>
      <c r="S155" s="295"/>
      <c r="T155" s="295"/>
      <c r="U155" s="295"/>
      <c r="V155" s="295"/>
      <c r="W155" s="295"/>
      <c r="X155" s="295"/>
      <c r="Y155" s="295"/>
      <c r="Z155" s="295"/>
      <c r="AA155" s="295"/>
      <c r="AB155" s="295"/>
      <c r="AC155" s="295"/>
      <c r="AD155" s="295"/>
      <c r="AE155" s="295"/>
    </row>
    <row r="156" spans="1:32" s="364" customFormat="1" ht="15" customHeight="1" thickBot="1" x14ac:dyDescent="0.3">
      <c r="A156" s="333" t="s">
        <v>1068</v>
      </c>
      <c r="B156" s="336" t="s">
        <v>925</v>
      </c>
      <c r="C156" s="334">
        <v>180</v>
      </c>
      <c r="D156" s="399">
        <v>8.3000000000000007</v>
      </c>
      <c r="E156" s="400">
        <v>6.3</v>
      </c>
      <c r="F156" s="400">
        <v>18.100000000000001</v>
      </c>
      <c r="G156" s="400">
        <v>233.7</v>
      </c>
      <c r="H156" s="259"/>
      <c r="I156" s="259"/>
      <c r="J156" s="259"/>
      <c r="K156" s="259"/>
      <c r="L156" s="259"/>
      <c r="M156" s="259"/>
      <c r="N156" s="295"/>
      <c r="O156" s="295"/>
      <c r="P156" s="295"/>
      <c r="Q156" s="295"/>
      <c r="R156" s="295"/>
      <c r="S156" s="295"/>
      <c r="T156" s="295"/>
      <c r="U156" s="295"/>
      <c r="V156" s="295"/>
      <c r="W156" s="295"/>
      <c r="X156" s="295"/>
      <c r="Y156" s="295"/>
      <c r="Z156" s="295"/>
      <c r="AA156" s="295"/>
      <c r="AB156" s="295"/>
      <c r="AC156" s="295"/>
      <c r="AD156" s="295"/>
      <c r="AE156" s="295"/>
    </row>
    <row r="157" spans="1:32" s="85" customFormat="1" ht="15" customHeight="1" thickTop="1" x14ac:dyDescent="0.25">
      <c r="A157" s="333" t="str">
        <f>VLOOKUP($B157, выпечка!$A$1:$R$52, 17, FALSE)</f>
        <v>ПР</v>
      </c>
      <c r="B157" s="336" t="s">
        <v>52</v>
      </c>
      <c r="C157" s="352">
        <v>60</v>
      </c>
      <c r="D157" s="353">
        <v>4.5999999999999996</v>
      </c>
      <c r="E157" s="353">
        <v>0.5</v>
      </c>
      <c r="F157" s="353">
        <v>29.5</v>
      </c>
      <c r="G157" s="353">
        <v>140.6</v>
      </c>
      <c r="H157" s="258"/>
      <c r="I157" s="258"/>
      <c r="J157" s="258"/>
      <c r="K157" s="258"/>
      <c r="L157" s="258"/>
      <c r="M157" s="258"/>
      <c r="N157" s="294"/>
      <c r="O157" s="294"/>
      <c r="P157" s="294"/>
      <c r="Q157" s="294"/>
      <c r="R157" s="295"/>
      <c r="S157" s="295"/>
      <c r="T157" s="295"/>
      <c r="U157" s="295"/>
      <c r="V157" s="295"/>
      <c r="W157" s="295"/>
      <c r="X157" s="295"/>
      <c r="Y157" s="295"/>
      <c r="Z157" s="295"/>
      <c r="AA157" s="295"/>
      <c r="AB157" s="295"/>
      <c r="AC157" s="295"/>
      <c r="AD157" s="295"/>
      <c r="AE157" s="295"/>
    </row>
    <row r="158" spans="1:32" s="85" customFormat="1" ht="15" customHeight="1" x14ac:dyDescent="0.25">
      <c r="A158" s="333" t="str">
        <f>VLOOKUP($B158, выпечка!$A$1:$R$52, 17, FALSE)</f>
        <v>ПР</v>
      </c>
      <c r="B158" s="227" t="s">
        <v>53</v>
      </c>
      <c r="C158" s="352">
        <v>40</v>
      </c>
      <c r="D158" s="353">
        <v>2.67</v>
      </c>
      <c r="E158" s="353">
        <v>0.53</v>
      </c>
      <c r="F158" s="353">
        <v>13.33</v>
      </c>
      <c r="G158" s="353">
        <f>VLOOKUP($B158, [3]выпечка!$A$1:$R$52, 8, FALSE)</f>
        <v>45.98</v>
      </c>
      <c r="H158" s="260"/>
      <c r="I158" s="260"/>
      <c r="J158" s="260"/>
      <c r="K158" s="260"/>
      <c r="L158" s="260"/>
      <c r="M158" s="260"/>
      <c r="N158" s="291"/>
      <c r="O158" s="291"/>
      <c r="P158" s="309"/>
      <c r="Q158" s="291"/>
      <c r="R158" s="295"/>
      <c r="S158" s="297"/>
      <c r="T158" s="37"/>
      <c r="U158" s="37"/>
      <c r="V158" s="37"/>
      <c r="W158" s="37"/>
      <c r="X158" s="297"/>
      <c r="Y158" s="297"/>
      <c r="Z158" s="37"/>
      <c r="AA158" s="37"/>
      <c r="AB158" s="37"/>
      <c r="AC158" s="37"/>
      <c r="AD158" s="303"/>
      <c r="AE158" s="303"/>
      <c r="AF158" s="63"/>
    </row>
    <row r="159" spans="1:32" ht="24.75" customHeight="1" x14ac:dyDescent="0.25">
      <c r="A159" s="324" t="s">
        <v>1038</v>
      </c>
      <c r="B159" s="227" t="s">
        <v>55</v>
      </c>
      <c r="C159" s="334">
        <v>200</v>
      </c>
      <c r="D159" s="335">
        <v>0.2</v>
      </c>
      <c r="E159" s="335">
        <v>0</v>
      </c>
      <c r="F159" s="335">
        <v>6.5</v>
      </c>
      <c r="G159" s="335">
        <v>26.8</v>
      </c>
      <c r="H159" s="260"/>
      <c r="I159" s="260"/>
      <c r="J159" s="260"/>
      <c r="K159" s="260"/>
      <c r="L159" s="260"/>
      <c r="M159" s="260"/>
      <c r="N159" s="291"/>
      <c r="O159" s="291"/>
      <c r="P159" s="309"/>
      <c r="Q159" s="291"/>
      <c r="R159" s="302"/>
      <c r="S159" s="304"/>
      <c r="T159" s="286"/>
      <c r="U159" s="286"/>
      <c r="V159" s="286"/>
      <c r="W159" s="297"/>
      <c r="X159" s="297"/>
      <c r="Y159" s="298"/>
      <c r="Z159" s="37"/>
      <c r="AA159" s="37"/>
      <c r="AB159" s="286"/>
      <c r="AC159" s="286"/>
      <c r="AD159" s="305"/>
      <c r="AE159" s="286"/>
    </row>
    <row r="160" spans="1:32" ht="24.75" customHeight="1" x14ac:dyDescent="0.25">
      <c r="A160" s="333"/>
      <c r="B160" s="337" t="s">
        <v>100</v>
      </c>
      <c r="C160" s="379">
        <f>C159+C158+C157+C156+C155+C154+C153</f>
        <v>930</v>
      </c>
      <c r="D160" s="379">
        <f t="shared" ref="D160:G160" si="13">D159+D158+D157+D156+D155+D154+D153</f>
        <v>25.3</v>
      </c>
      <c r="E160" s="379">
        <f t="shared" si="13"/>
        <v>27.59</v>
      </c>
      <c r="F160" s="379">
        <f t="shared" si="13"/>
        <v>102.84</v>
      </c>
      <c r="G160" s="379">
        <f t="shared" si="13"/>
        <v>934.53</v>
      </c>
      <c r="H160" s="260"/>
      <c r="I160" s="260"/>
      <c r="J160" s="260"/>
      <c r="K160" s="260"/>
      <c r="L160" s="260"/>
      <c r="M160" s="260"/>
      <c r="N160" s="291"/>
      <c r="O160" s="291"/>
      <c r="P160" s="309"/>
      <c r="Q160" s="291"/>
      <c r="R160" s="302"/>
      <c r="S160" s="304"/>
      <c r="T160" s="286"/>
      <c r="U160" s="286"/>
      <c r="V160" s="286"/>
      <c r="W160" s="297"/>
      <c r="X160" s="297"/>
      <c r="Y160" s="298"/>
      <c r="Z160" s="37"/>
      <c r="AA160" s="37"/>
      <c r="AB160" s="286"/>
      <c r="AC160" s="286"/>
      <c r="AD160" s="305"/>
      <c r="AE160" s="286"/>
    </row>
    <row r="161" spans="1:32" ht="15" customHeight="1" x14ac:dyDescent="0.25">
      <c r="A161" s="324"/>
      <c r="B161" s="337" t="s">
        <v>143</v>
      </c>
      <c r="C161" s="324"/>
      <c r="D161" s="325">
        <f>D160+D151</f>
        <v>47.989999999999995</v>
      </c>
      <c r="E161" s="325">
        <f t="shared" ref="E161:G161" si="14">E160+E151</f>
        <v>50.28</v>
      </c>
      <c r="F161" s="325">
        <f t="shared" si="14"/>
        <v>186.82</v>
      </c>
      <c r="G161" s="325">
        <f t="shared" si="14"/>
        <v>1616.77</v>
      </c>
      <c r="H161" s="260"/>
      <c r="I161" s="260"/>
      <c r="J161" s="260"/>
      <c r="K161" s="260"/>
      <c r="L161" s="260"/>
      <c r="M161" s="260"/>
      <c r="N161" s="291"/>
      <c r="O161" s="291"/>
      <c r="P161" s="309"/>
      <c r="Q161" s="291"/>
      <c r="R161" s="302"/>
      <c r="S161" s="307"/>
      <c r="T161" s="285"/>
      <c r="U161" s="285"/>
      <c r="V161" s="285"/>
      <c r="W161" s="285"/>
      <c r="X161" s="297"/>
      <c r="Y161" s="298"/>
      <c r="Z161" s="37"/>
      <c r="AA161" s="37"/>
      <c r="AB161" s="286"/>
      <c r="AC161" s="286"/>
      <c r="AD161" s="305"/>
      <c r="AE161" s="286"/>
    </row>
    <row r="162" spans="1:32" ht="15" customHeight="1" x14ac:dyDescent="0.25">
      <c r="A162" s="404" t="s">
        <v>1072</v>
      </c>
      <c r="B162" s="405"/>
      <c r="C162" s="405"/>
      <c r="D162" s="405"/>
      <c r="E162" s="405"/>
      <c r="F162" s="405"/>
      <c r="G162" s="405"/>
      <c r="H162" s="260"/>
      <c r="I162" s="260"/>
      <c r="J162" s="260"/>
      <c r="K162" s="260"/>
      <c r="L162" s="260"/>
      <c r="M162" s="260"/>
      <c r="N162" s="291"/>
      <c r="O162" s="291"/>
      <c r="P162" s="309"/>
      <c r="Q162" s="291"/>
      <c r="R162" s="302"/>
      <c r="S162" s="45"/>
      <c r="T162" s="272"/>
      <c r="U162" s="272"/>
      <c r="V162" s="272"/>
      <c r="W162" s="272"/>
      <c r="X162" s="297"/>
      <c r="Y162" s="298"/>
      <c r="Z162" s="37"/>
      <c r="AA162" s="37"/>
      <c r="AB162" s="286"/>
      <c r="AC162" s="286"/>
      <c r="AD162" s="305"/>
      <c r="AE162" s="286"/>
    </row>
    <row r="163" spans="1:32" ht="15" customHeight="1" x14ac:dyDescent="0.25">
      <c r="A163" s="182"/>
      <c r="B163" s="329" t="s">
        <v>126</v>
      </c>
      <c r="C163" s="334"/>
      <c r="D163" s="335"/>
      <c r="E163" s="335"/>
      <c r="F163" s="335"/>
      <c r="G163" s="338"/>
      <c r="H163" s="260"/>
      <c r="I163" s="260"/>
      <c r="J163" s="260"/>
      <c r="K163" s="260"/>
      <c r="L163" s="260"/>
      <c r="M163" s="260"/>
      <c r="N163" s="291"/>
      <c r="O163" s="291"/>
      <c r="P163" s="309"/>
      <c r="Q163" s="291"/>
      <c r="R163" s="302"/>
      <c r="S163" s="302"/>
      <c r="T163" s="302"/>
      <c r="U163" s="302"/>
      <c r="V163" s="302"/>
      <c r="W163" s="302"/>
      <c r="X163" s="302"/>
      <c r="Y163" s="302"/>
      <c r="Z163" s="302"/>
      <c r="AA163" s="302"/>
      <c r="AB163" s="302"/>
      <c r="AC163" s="302"/>
      <c r="AD163" s="302"/>
      <c r="AE163" s="302"/>
    </row>
    <row r="164" spans="1:32" ht="15" customHeight="1" x14ac:dyDescent="0.25">
      <c r="A164" s="333" t="s">
        <v>31</v>
      </c>
      <c r="B164" s="227" t="s">
        <v>1000</v>
      </c>
      <c r="C164" s="324">
        <v>60</v>
      </c>
      <c r="D164" s="322">
        <v>1.17</v>
      </c>
      <c r="E164" s="322">
        <v>0.1</v>
      </c>
      <c r="F164" s="322">
        <v>3.5</v>
      </c>
      <c r="G164" s="322">
        <v>22.1</v>
      </c>
      <c r="H164" s="260"/>
      <c r="I164" s="260"/>
      <c r="J164" s="260"/>
      <c r="K164" s="260"/>
      <c r="L164" s="260"/>
      <c r="M164" s="260"/>
      <c r="N164" s="260"/>
      <c r="O164" s="261"/>
      <c r="P164" s="308"/>
      <c r="Q164" s="261"/>
    </row>
    <row r="165" spans="1:32" ht="15" customHeight="1" x14ac:dyDescent="0.25">
      <c r="A165" s="346" t="s">
        <v>1162</v>
      </c>
      <c r="B165" s="227" t="s">
        <v>41</v>
      </c>
      <c r="C165" s="334">
        <v>180</v>
      </c>
      <c r="D165" s="322">
        <v>3.7</v>
      </c>
      <c r="E165" s="322">
        <v>4.8</v>
      </c>
      <c r="F165" s="322">
        <v>20.5</v>
      </c>
      <c r="G165" s="322">
        <v>203.5</v>
      </c>
      <c r="H165" s="261"/>
      <c r="I165" s="261"/>
      <c r="J165" s="261"/>
      <c r="K165" s="261"/>
      <c r="L165" s="261"/>
      <c r="M165" s="261"/>
      <c r="N165" s="261"/>
      <c r="O165" s="261"/>
      <c r="P165" s="308"/>
      <c r="Q165" s="261"/>
    </row>
    <row r="166" spans="1:32" ht="15" customHeight="1" x14ac:dyDescent="0.25">
      <c r="A166" s="333" t="s">
        <v>1138</v>
      </c>
      <c r="B166" s="336" t="s">
        <v>1108</v>
      </c>
      <c r="C166" s="334">
        <v>100</v>
      </c>
      <c r="D166" s="322">
        <v>8.7200000000000006</v>
      </c>
      <c r="E166" s="322">
        <v>12.38</v>
      </c>
      <c r="F166" s="322">
        <v>11.14</v>
      </c>
      <c r="G166" s="322">
        <v>163</v>
      </c>
      <c r="H166" s="282"/>
      <c r="I166" s="282"/>
      <c r="J166" s="282"/>
      <c r="K166" s="282"/>
      <c r="L166" s="282"/>
      <c r="M166" s="282"/>
      <c r="N166" s="282"/>
      <c r="O166" s="282"/>
      <c r="P166" s="308"/>
      <c r="Q166" s="257"/>
    </row>
    <row r="167" spans="1:32" ht="15" customHeight="1" x14ac:dyDescent="0.25">
      <c r="A167" s="333" t="str">
        <f>VLOOKUP($B167, выпечка!$A$1:$R$52, 17, FALSE)</f>
        <v>ПР</v>
      </c>
      <c r="B167" s="336" t="s">
        <v>52</v>
      </c>
      <c r="C167" s="352">
        <v>50</v>
      </c>
      <c r="D167" s="353">
        <v>3.75</v>
      </c>
      <c r="E167" s="353">
        <v>0.38</v>
      </c>
      <c r="F167" s="353">
        <v>24.63</v>
      </c>
      <c r="G167" s="353">
        <v>117.25</v>
      </c>
      <c r="H167" s="260"/>
      <c r="I167" s="260"/>
      <c r="J167" s="260"/>
      <c r="K167" s="260"/>
      <c r="L167" s="260"/>
      <c r="M167" s="260"/>
      <c r="N167" s="260"/>
      <c r="O167" s="260"/>
      <c r="P167" s="308"/>
      <c r="Q167" s="260"/>
    </row>
    <row r="168" spans="1:32" ht="15" customHeight="1" x14ac:dyDescent="0.25">
      <c r="A168" s="333" t="str">
        <f>VLOOKUP($B168, выпечка!$A$1:$R$52, 17, FALSE)</f>
        <v>ПР</v>
      </c>
      <c r="B168" s="227" t="s">
        <v>1026</v>
      </c>
      <c r="C168" s="352">
        <v>30</v>
      </c>
      <c r="D168" s="353">
        <v>2.41</v>
      </c>
      <c r="E168" s="353">
        <v>0.37</v>
      </c>
      <c r="F168" s="353">
        <v>14.62</v>
      </c>
      <c r="G168" s="353">
        <v>72.33</v>
      </c>
      <c r="H168" s="260"/>
      <c r="I168" s="260"/>
      <c r="J168" s="260"/>
      <c r="K168" s="260"/>
      <c r="L168" s="260"/>
      <c r="M168" s="260"/>
      <c r="N168" s="260"/>
      <c r="O168" s="260"/>
      <c r="P168" s="308"/>
      <c r="Q168" s="260"/>
    </row>
    <row r="169" spans="1:32" ht="15" customHeight="1" x14ac:dyDescent="0.25">
      <c r="A169" s="333" t="s">
        <v>1140</v>
      </c>
      <c r="B169" s="227" t="s">
        <v>59</v>
      </c>
      <c r="C169" s="334">
        <f>VLOOKUP($B169, напитки!$A$1:$R$34, 2, FALSE)</f>
        <v>200</v>
      </c>
      <c r="D169" s="335">
        <v>0.2</v>
      </c>
      <c r="E169" s="335">
        <v>0</v>
      </c>
      <c r="F169" s="335">
        <v>6.4</v>
      </c>
      <c r="G169" s="338">
        <v>26.8</v>
      </c>
      <c r="H169" s="260"/>
      <c r="I169" s="260"/>
      <c r="J169" s="260"/>
      <c r="K169" s="260"/>
      <c r="L169" s="260"/>
      <c r="M169" s="260"/>
      <c r="N169" s="260"/>
      <c r="O169" s="260"/>
      <c r="P169" s="308"/>
      <c r="Q169" s="260"/>
    </row>
    <row r="170" spans="1:32" ht="15" customHeight="1" x14ac:dyDescent="0.25">
      <c r="A170" s="324"/>
      <c r="B170" s="337" t="s">
        <v>100</v>
      </c>
      <c r="C170" s="334">
        <f>SUM(C164:C169)</f>
        <v>620</v>
      </c>
      <c r="D170" s="325">
        <f>SUM(D164:D169)</f>
        <v>19.95</v>
      </c>
      <c r="E170" s="325">
        <f>SUM(E164:E169)</f>
        <v>18.03</v>
      </c>
      <c r="F170" s="325">
        <f>F169+F168+F167+F166+F165+F164</f>
        <v>80.789999999999992</v>
      </c>
      <c r="G170" s="325">
        <f>SUM(G164:G169)</f>
        <v>604.98</v>
      </c>
      <c r="H170" s="260"/>
      <c r="I170" s="260"/>
      <c r="J170" s="260"/>
      <c r="K170" s="260"/>
      <c r="L170" s="260"/>
      <c r="M170" s="260"/>
      <c r="N170" s="260"/>
      <c r="O170" s="260"/>
      <c r="P170" s="308"/>
      <c r="Q170" s="260"/>
    </row>
    <row r="171" spans="1:32" ht="15" customHeight="1" x14ac:dyDescent="0.25">
      <c r="A171" s="324"/>
      <c r="B171" s="329" t="s">
        <v>127</v>
      </c>
      <c r="C171" s="324"/>
      <c r="D171" s="324"/>
      <c r="E171" s="324"/>
      <c r="F171" s="324"/>
      <c r="G171" s="340"/>
      <c r="H171" s="260"/>
      <c r="I171" s="260"/>
      <c r="J171" s="260"/>
      <c r="K171" s="260"/>
      <c r="L171" s="260"/>
      <c r="M171" s="260"/>
      <c r="N171" s="260"/>
      <c r="O171" s="260"/>
      <c r="P171" s="308"/>
      <c r="Q171" s="260"/>
    </row>
    <row r="172" spans="1:32" ht="15" customHeight="1" x14ac:dyDescent="0.25">
      <c r="A172" s="333" t="s">
        <v>1139</v>
      </c>
      <c r="B172" s="227" t="s">
        <v>1105</v>
      </c>
      <c r="C172" s="324">
        <v>100</v>
      </c>
      <c r="D172" s="322">
        <v>1</v>
      </c>
      <c r="E172" s="322">
        <v>6.1</v>
      </c>
      <c r="F172" s="322">
        <v>5.8</v>
      </c>
      <c r="G172" s="322">
        <v>81.5</v>
      </c>
      <c r="H172" s="260"/>
      <c r="I172" s="260"/>
      <c r="J172" s="260"/>
      <c r="K172" s="260"/>
      <c r="L172" s="260"/>
      <c r="M172" s="260"/>
      <c r="N172" s="260"/>
      <c r="O172" s="260"/>
      <c r="P172" s="308"/>
      <c r="Q172" s="260"/>
    </row>
    <row r="173" spans="1:32" ht="15" customHeight="1" x14ac:dyDescent="0.25">
      <c r="A173" s="333" t="s">
        <v>1133</v>
      </c>
      <c r="B173" s="336" t="s">
        <v>46</v>
      </c>
      <c r="C173" s="334">
        <v>250</v>
      </c>
      <c r="D173" s="335">
        <v>2.69</v>
      </c>
      <c r="E173" s="322">
        <v>5.84</v>
      </c>
      <c r="F173" s="322">
        <v>7.46</v>
      </c>
      <c r="G173" s="322">
        <v>118.25</v>
      </c>
      <c r="H173" s="260"/>
      <c r="I173" s="260"/>
      <c r="J173" s="260"/>
      <c r="K173" s="260"/>
      <c r="L173" s="260"/>
      <c r="M173" s="260"/>
      <c r="N173" s="260"/>
      <c r="O173" s="260"/>
      <c r="P173" s="308"/>
      <c r="Q173" s="260"/>
    </row>
    <row r="174" spans="1:32" ht="24.95" customHeight="1" x14ac:dyDescent="0.25">
      <c r="A174" s="333" t="s">
        <v>1046</v>
      </c>
      <c r="B174" s="336" t="s">
        <v>1044</v>
      </c>
      <c r="C174" s="324">
        <v>180</v>
      </c>
      <c r="D174" s="322">
        <v>3.2</v>
      </c>
      <c r="E174" s="322">
        <v>5.2</v>
      </c>
      <c r="F174" s="322">
        <v>19.8</v>
      </c>
      <c r="G174" s="322">
        <v>239.4</v>
      </c>
      <c r="H174" s="260"/>
      <c r="I174" s="260"/>
      <c r="J174" s="260"/>
      <c r="K174" s="260"/>
      <c r="L174" s="260"/>
      <c r="M174" s="260"/>
      <c r="N174" s="260"/>
      <c r="O174" s="260"/>
      <c r="P174" s="308"/>
      <c r="Q174" s="260"/>
    </row>
    <row r="175" spans="1:32" s="85" customFormat="1" ht="24.75" customHeight="1" x14ac:dyDescent="0.25">
      <c r="A175" s="333" t="s">
        <v>1137</v>
      </c>
      <c r="B175" s="359" t="s">
        <v>395</v>
      </c>
      <c r="C175" s="324">
        <v>100</v>
      </c>
      <c r="D175" s="322">
        <v>12.9</v>
      </c>
      <c r="E175" s="322">
        <v>9.4</v>
      </c>
      <c r="F175" s="322">
        <v>13.73</v>
      </c>
      <c r="G175" s="322">
        <v>158.1</v>
      </c>
      <c r="H175" s="258"/>
      <c r="I175" s="258"/>
      <c r="J175" s="258"/>
      <c r="K175" s="258"/>
      <c r="L175" s="258"/>
      <c r="M175" s="258"/>
      <c r="N175" s="258"/>
      <c r="O175" s="258"/>
      <c r="P175" s="258"/>
      <c r="Q175" s="258"/>
    </row>
    <row r="176" spans="1:32" s="85" customFormat="1" ht="15" hidden="1" customHeight="1" x14ac:dyDescent="0.25">
      <c r="A176" s="333"/>
      <c r="B176" s="336"/>
      <c r="C176" s="324"/>
      <c r="D176" s="322"/>
      <c r="E176" s="322"/>
      <c r="F176" s="322"/>
      <c r="G176" s="322"/>
      <c r="H176" s="259"/>
      <c r="I176" s="259"/>
      <c r="J176" s="259"/>
      <c r="K176" s="259"/>
      <c r="L176" s="259"/>
      <c r="M176" s="259"/>
      <c r="N176" s="259"/>
      <c r="O176" s="259"/>
      <c r="P176" s="259"/>
      <c r="Q176" s="259"/>
      <c r="R176" s="295"/>
      <c r="S176" s="295"/>
      <c r="T176" s="295"/>
      <c r="U176" s="295"/>
      <c r="V176" s="295"/>
      <c r="W176" s="295"/>
      <c r="X176" s="295"/>
      <c r="Y176" s="295"/>
      <c r="Z176" s="295"/>
      <c r="AA176" s="295"/>
      <c r="AB176" s="295"/>
      <c r="AC176" s="295"/>
      <c r="AD176" s="295"/>
      <c r="AE176" s="295"/>
      <c r="AF176" s="295"/>
    </row>
    <row r="177" spans="1:32" s="327" customFormat="1" ht="15" customHeight="1" x14ac:dyDescent="0.25">
      <c r="A177" s="333" t="str">
        <f>VLOOKUP($B177, выпечка!$A$1:$R$52, 17, FALSE)</f>
        <v>ПР</v>
      </c>
      <c r="B177" s="336" t="s">
        <v>52</v>
      </c>
      <c r="C177" s="352">
        <v>60</v>
      </c>
      <c r="D177" s="353">
        <v>4.5999999999999996</v>
      </c>
      <c r="E177" s="353">
        <v>0.5</v>
      </c>
      <c r="F177" s="353">
        <v>29.5</v>
      </c>
      <c r="G177" s="353">
        <v>140.6</v>
      </c>
      <c r="H177" s="259"/>
      <c r="I177" s="259"/>
      <c r="J177" s="259"/>
      <c r="K177" s="259"/>
      <c r="L177" s="259"/>
      <c r="M177" s="259"/>
      <c r="N177" s="259"/>
      <c r="O177" s="259"/>
      <c r="P177" s="259"/>
      <c r="Q177" s="259"/>
      <c r="R177" s="295"/>
      <c r="S177" s="295"/>
      <c r="T177" s="295"/>
      <c r="U177" s="295"/>
      <c r="V177" s="295"/>
      <c r="W177" s="295"/>
      <c r="X177" s="295"/>
      <c r="Y177" s="295"/>
      <c r="Z177" s="295"/>
      <c r="AA177" s="295"/>
      <c r="AB177" s="295"/>
      <c r="AC177" s="295"/>
      <c r="AD177" s="295"/>
      <c r="AE177" s="295"/>
      <c r="AF177" s="295"/>
    </row>
    <row r="178" spans="1:32" s="85" customFormat="1" ht="15" customHeight="1" x14ac:dyDescent="0.25">
      <c r="A178" s="333" t="str">
        <f>VLOOKUP($B178, выпечка!$A$1:$R$52, 17, FALSE)</f>
        <v>ПР</v>
      </c>
      <c r="B178" s="227" t="s">
        <v>53</v>
      </c>
      <c r="C178" s="352">
        <v>40</v>
      </c>
      <c r="D178" s="353">
        <v>2.67</v>
      </c>
      <c r="E178" s="353">
        <v>0.53</v>
      </c>
      <c r="F178" s="353">
        <v>13.33</v>
      </c>
      <c r="G178" s="353">
        <f>VLOOKUP($B178, [3]выпечка!$A$1:$R$52, 8, FALSE)</f>
        <v>45.98</v>
      </c>
      <c r="H178" s="260"/>
      <c r="I178" s="260"/>
      <c r="J178" s="260"/>
      <c r="K178" s="260"/>
      <c r="L178" s="260"/>
      <c r="M178" s="260"/>
      <c r="N178" s="260"/>
      <c r="O178" s="260"/>
      <c r="P178" s="260"/>
      <c r="Q178" s="260"/>
      <c r="R178" s="295"/>
      <c r="S178" s="297"/>
      <c r="T178" s="37"/>
      <c r="U178" s="37"/>
      <c r="V178" s="37"/>
      <c r="W178" s="37"/>
      <c r="X178" s="297"/>
      <c r="Y178" s="297"/>
      <c r="Z178" s="37"/>
      <c r="AA178" s="37"/>
      <c r="AB178" s="37"/>
      <c r="AC178" s="37"/>
      <c r="AD178" s="303"/>
      <c r="AE178" s="303"/>
      <c r="AF178" s="297"/>
    </row>
    <row r="179" spans="1:32" s="326" customFormat="1" ht="15" hidden="1" customHeight="1" x14ac:dyDescent="0.25">
      <c r="A179" s="333" t="s">
        <v>1075</v>
      </c>
      <c r="B179" s="227" t="s">
        <v>1037</v>
      </c>
      <c r="C179" s="324">
        <v>200</v>
      </c>
      <c r="D179" s="335">
        <v>0.2</v>
      </c>
      <c r="E179" s="335">
        <v>0</v>
      </c>
      <c r="F179" s="335">
        <v>6.4</v>
      </c>
      <c r="G179" s="338">
        <v>26.8</v>
      </c>
      <c r="H179" s="260"/>
      <c r="I179" s="260"/>
      <c r="J179" s="260"/>
      <c r="K179" s="260"/>
      <c r="L179" s="260"/>
      <c r="M179" s="260"/>
      <c r="N179" s="260"/>
      <c r="O179" s="260"/>
      <c r="P179" s="260"/>
      <c r="Q179" s="260"/>
      <c r="R179" s="295"/>
      <c r="S179" s="297"/>
      <c r="T179" s="37"/>
      <c r="U179" s="37"/>
      <c r="V179" s="37"/>
      <c r="W179" s="37"/>
      <c r="X179" s="297"/>
      <c r="Y179" s="297"/>
      <c r="Z179" s="37"/>
      <c r="AA179" s="37"/>
      <c r="AB179" s="37"/>
      <c r="AC179" s="37"/>
      <c r="AD179" s="303"/>
      <c r="AE179" s="303"/>
      <c r="AF179" s="297"/>
    </row>
    <row r="180" spans="1:32" s="354" customFormat="1" ht="15" customHeight="1" x14ac:dyDescent="0.25">
      <c r="A180" s="333" t="s">
        <v>1140</v>
      </c>
      <c r="B180" s="227" t="s">
        <v>1107</v>
      </c>
      <c r="C180" s="334">
        <f>VLOOKUP($B180, напитки!$A$1:$R$34, 2, FALSE)</f>
        <v>200</v>
      </c>
      <c r="D180" s="335">
        <v>0.4</v>
      </c>
      <c r="E180" s="335">
        <v>0.1</v>
      </c>
      <c r="F180" s="335">
        <v>18.399999999999999</v>
      </c>
      <c r="G180" s="338">
        <v>75.8</v>
      </c>
      <c r="H180" s="260"/>
      <c r="I180" s="260"/>
      <c r="J180" s="260"/>
      <c r="K180" s="260"/>
      <c r="L180" s="260"/>
      <c r="M180" s="260"/>
      <c r="N180" s="260"/>
      <c r="O180" s="260"/>
      <c r="P180" s="260"/>
      <c r="Q180" s="260"/>
      <c r="R180" s="295"/>
      <c r="S180" s="297"/>
      <c r="T180" s="37"/>
      <c r="U180" s="37"/>
      <c r="V180" s="37"/>
      <c r="W180" s="37"/>
      <c r="X180" s="297"/>
      <c r="Y180" s="297"/>
      <c r="Z180" s="37"/>
      <c r="AA180" s="37"/>
      <c r="AB180" s="37"/>
      <c r="AC180" s="37"/>
      <c r="AD180" s="303"/>
      <c r="AE180" s="303"/>
      <c r="AF180" s="297"/>
    </row>
    <row r="181" spans="1:32" s="378" customFormat="1" ht="15" customHeight="1" x14ac:dyDescent="0.25">
      <c r="A181" s="333"/>
      <c r="B181" s="337" t="s">
        <v>100</v>
      </c>
      <c r="C181" s="381">
        <f>C180+C178+C177+C175+C174+C173+C172</f>
        <v>930</v>
      </c>
      <c r="D181" s="379">
        <f t="shared" ref="D181:G181" si="15">D180+D178+D177+D175+D174+D173+D172</f>
        <v>27.46</v>
      </c>
      <c r="E181" s="379">
        <f t="shared" si="15"/>
        <v>27.67</v>
      </c>
      <c r="F181" s="379">
        <f t="shared" si="15"/>
        <v>108.01999999999998</v>
      </c>
      <c r="G181" s="379">
        <f t="shared" si="15"/>
        <v>859.63</v>
      </c>
      <c r="H181" s="260"/>
      <c r="I181" s="260"/>
      <c r="J181" s="260"/>
      <c r="K181" s="260"/>
      <c r="L181" s="260"/>
      <c r="M181" s="260"/>
      <c r="N181" s="260"/>
      <c r="O181" s="260"/>
      <c r="P181" s="260"/>
      <c r="Q181" s="260"/>
      <c r="R181" s="295"/>
      <c r="S181" s="297"/>
      <c r="T181" s="37"/>
      <c r="U181" s="37"/>
      <c r="V181" s="37"/>
      <c r="W181" s="37"/>
      <c r="X181" s="297"/>
      <c r="Y181" s="297"/>
      <c r="Z181" s="37"/>
      <c r="AA181" s="37"/>
      <c r="AB181" s="37"/>
      <c r="AC181" s="37"/>
      <c r="AD181" s="303"/>
      <c r="AE181" s="303"/>
      <c r="AF181" s="297"/>
    </row>
    <row r="182" spans="1:32" ht="15" customHeight="1" x14ac:dyDescent="0.25">
      <c r="A182" s="324"/>
      <c r="B182" s="337" t="s">
        <v>143</v>
      </c>
      <c r="C182" s="324"/>
      <c r="D182" s="325">
        <f>D181+D170</f>
        <v>47.41</v>
      </c>
      <c r="E182" s="325">
        <f>E181+E170</f>
        <v>45.7</v>
      </c>
      <c r="F182" s="325">
        <f>F181+F170</f>
        <v>188.80999999999997</v>
      </c>
      <c r="G182" s="325">
        <f>G181+G170</f>
        <v>1464.6100000000001</v>
      </c>
      <c r="H182" s="260"/>
      <c r="I182" s="260"/>
      <c r="J182" s="260"/>
      <c r="K182" s="260"/>
      <c r="L182" s="260"/>
      <c r="M182" s="260"/>
      <c r="N182" s="260"/>
      <c r="O182" s="260"/>
      <c r="P182" s="260"/>
      <c r="Q182" s="260"/>
      <c r="R182" s="302"/>
      <c r="S182" s="306"/>
      <c r="T182" s="286"/>
      <c r="U182" s="286"/>
      <c r="V182" s="286"/>
      <c r="W182" s="286"/>
      <c r="X182" s="297"/>
      <c r="Y182" s="298"/>
      <c r="Z182" s="37"/>
      <c r="AA182" s="37"/>
      <c r="AB182" s="286"/>
      <c r="AC182" s="286"/>
      <c r="AD182" s="305"/>
      <c r="AE182" s="286"/>
      <c r="AF182" s="302"/>
    </row>
    <row r="183" spans="1:32" s="275" customFormat="1" ht="24.95" customHeight="1" x14ac:dyDescent="0.25">
      <c r="A183" s="404" t="s">
        <v>1076</v>
      </c>
      <c r="B183" s="405"/>
      <c r="C183" s="405"/>
      <c r="D183" s="405"/>
      <c r="E183" s="405"/>
      <c r="F183" s="405"/>
      <c r="G183" s="405"/>
      <c r="H183" s="260"/>
      <c r="I183" s="260"/>
      <c r="J183" s="260"/>
      <c r="K183" s="260"/>
      <c r="L183" s="260"/>
      <c r="M183" s="260"/>
      <c r="N183" s="260"/>
      <c r="O183" s="260"/>
      <c r="P183" s="274"/>
      <c r="Q183" s="274"/>
      <c r="R183" s="310"/>
      <c r="S183" s="311"/>
      <c r="T183" s="312"/>
      <c r="U183" s="312"/>
      <c r="V183" s="312"/>
      <c r="W183" s="312"/>
      <c r="X183" s="313"/>
      <c r="Y183" s="45"/>
      <c r="Z183" s="303"/>
      <c r="AA183" s="303"/>
      <c r="AB183" s="305"/>
      <c r="AC183" s="305"/>
      <c r="AD183" s="305"/>
      <c r="AE183" s="305"/>
      <c r="AF183" s="310"/>
    </row>
    <row r="184" spans="1:32" ht="15" customHeight="1" x14ac:dyDescent="0.25">
      <c r="A184" s="182"/>
      <c r="B184" s="329" t="s">
        <v>126</v>
      </c>
      <c r="C184" s="334"/>
      <c r="D184" s="335"/>
      <c r="E184" s="335"/>
      <c r="F184" s="335"/>
      <c r="G184" s="338"/>
      <c r="H184" s="260"/>
      <c r="I184" s="260"/>
      <c r="J184" s="260"/>
      <c r="K184" s="260"/>
      <c r="L184" s="260"/>
      <c r="M184" s="260"/>
      <c r="N184" s="260"/>
      <c r="O184" s="260"/>
      <c r="P184" s="260"/>
      <c r="Q184" s="260"/>
      <c r="R184" s="302"/>
      <c r="S184" s="45"/>
      <c r="T184" s="272"/>
      <c r="U184" s="272"/>
      <c r="V184" s="272"/>
      <c r="W184" s="272"/>
      <c r="X184" s="297"/>
      <c r="Y184" s="298"/>
      <c r="Z184" s="37"/>
      <c r="AA184" s="37"/>
      <c r="AB184" s="286"/>
      <c r="AC184" s="286"/>
      <c r="AD184" s="305"/>
      <c r="AE184" s="286"/>
      <c r="AF184" s="302"/>
    </row>
    <row r="185" spans="1:32" ht="15" customHeight="1" x14ac:dyDescent="0.25">
      <c r="A185" s="333" t="s">
        <v>31</v>
      </c>
      <c r="B185" s="227" t="s">
        <v>1167</v>
      </c>
      <c r="C185" s="352">
        <v>125</v>
      </c>
      <c r="D185" s="322">
        <v>0.4</v>
      </c>
      <c r="E185" s="322">
        <v>0.4</v>
      </c>
      <c r="F185" s="322">
        <v>0.1</v>
      </c>
      <c r="G185" s="322">
        <v>44.4</v>
      </c>
      <c r="H185" s="260"/>
      <c r="I185" s="260"/>
      <c r="J185" s="260"/>
      <c r="K185" s="260"/>
      <c r="L185" s="260"/>
      <c r="M185" s="260"/>
      <c r="N185" s="260"/>
      <c r="O185" s="261"/>
      <c r="P185" s="261"/>
      <c r="Q185" s="261"/>
      <c r="R185" s="302"/>
      <c r="S185" s="302"/>
      <c r="T185" s="302"/>
      <c r="U185" s="302"/>
      <c r="V185" s="302"/>
      <c r="W185" s="302"/>
      <c r="X185" s="302"/>
      <c r="Y185" s="302"/>
      <c r="Z185" s="302"/>
      <c r="AA185" s="302"/>
      <c r="AB185" s="302"/>
      <c r="AC185" s="302"/>
      <c r="AD185" s="302"/>
      <c r="AE185" s="302"/>
      <c r="AF185" s="302"/>
    </row>
    <row r="186" spans="1:32" ht="15" customHeight="1" x14ac:dyDescent="0.25">
      <c r="A186" s="333" t="s">
        <v>31</v>
      </c>
      <c r="B186" s="227" t="s">
        <v>26</v>
      </c>
      <c r="C186" s="352">
        <v>20</v>
      </c>
      <c r="D186" s="322">
        <v>1.45</v>
      </c>
      <c r="E186" s="322">
        <v>0.02</v>
      </c>
      <c r="F186" s="322">
        <v>1.8</v>
      </c>
      <c r="G186" s="322">
        <v>21.33</v>
      </c>
      <c r="H186" s="261"/>
      <c r="I186" s="261"/>
      <c r="J186" s="261"/>
      <c r="K186" s="261"/>
      <c r="L186" s="261"/>
      <c r="M186" s="261"/>
      <c r="N186" s="261"/>
      <c r="O186" s="261"/>
      <c r="P186" s="261"/>
      <c r="Q186" s="261"/>
      <c r="R186" s="302"/>
      <c r="S186" s="302"/>
      <c r="T186" s="302"/>
      <c r="U186" s="302"/>
      <c r="V186" s="302"/>
      <c r="W186" s="302"/>
      <c r="X186" s="302"/>
      <c r="Y186" s="302"/>
      <c r="Z186" s="302"/>
      <c r="AA186" s="302"/>
      <c r="AB186" s="302"/>
      <c r="AC186" s="302"/>
      <c r="AD186" s="302"/>
      <c r="AE186" s="302"/>
      <c r="AF186" s="302"/>
    </row>
    <row r="187" spans="1:32" ht="15" customHeight="1" x14ac:dyDescent="0.25">
      <c r="A187" s="349" t="s">
        <v>1092</v>
      </c>
      <c r="B187" s="350" t="s">
        <v>895</v>
      </c>
      <c r="C187" s="352">
        <v>15</v>
      </c>
      <c r="D187" s="322">
        <v>1.2</v>
      </c>
      <c r="E187" s="322">
        <v>7.8</v>
      </c>
      <c r="F187" s="322">
        <v>9.8000000000000007</v>
      </c>
      <c r="G187" s="322">
        <v>66.099999999999994</v>
      </c>
      <c r="H187" s="261"/>
      <c r="I187" s="261"/>
      <c r="J187" s="261"/>
      <c r="K187" s="261"/>
      <c r="L187" s="261"/>
      <c r="M187" s="261"/>
      <c r="N187" s="261"/>
      <c r="O187" s="261"/>
      <c r="P187" s="261"/>
      <c r="Q187" s="261"/>
      <c r="R187" s="302"/>
      <c r="S187" s="302"/>
      <c r="T187" s="302"/>
      <c r="U187" s="302"/>
      <c r="V187" s="302"/>
      <c r="W187" s="302"/>
      <c r="X187" s="302"/>
      <c r="Y187" s="302"/>
      <c r="Z187" s="302"/>
      <c r="AA187" s="302"/>
      <c r="AB187" s="302"/>
      <c r="AC187" s="302"/>
      <c r="AD187" s="302"/>
      <c r="AE187" s="302"/>
      <c r="AF187" s="302"/>
    </row>
    <row r="188" spans="1:32" ht="15" customHeight="1" x14ac:dyDescent="0.25">
      <c r="A188" s="333" t="s">
        <v>1184</v>
      </c>
      <c r="B188" s="336" t="s">
        <v>1083</v>
      </c>
      <c r="C188" s="334">
        <v>200</v>
      </c>
      <c r="D188" s="357">
        <v>8.1</v>
      </c>
      <c r="E188" s="357">
        <v>8.6999999999999993</v>
      </c>
      <c r="F188" s="357">
        <v>20.5</v>
      </c>
      <c r="G188" s="358">
        <v>285.8</v>
      </c>
      <c r="H188" s="282"/>
      <c r="I188" s="282"/>
      <c r="J188" s="282"/>
      <c r="K188" s="282"/>
      <c r="L188" s="282"/>
      <c r="M188" s="282"/>
      <c r="N188" s="282"/>
      <c r="O188" s="282"/>
      <c r="P188" s="282"/>
      <c r="Q188" s="257"/>
      <c r="R188" s="302"/>
      <c r="S188" s="302"/>
      <c r="T188" s="302"/>
      <c r="U188" s="302"/>
      <c r="V188" s="302"/>
      <c r="W188" s="302"/>
      <c r="X188" s="302"/>
      <c r="Y188" s="302"/>
      <c r="Z188" s="302"/>
      <c r="AA188" s="302"/>
      <c r="AB188" s="302"/>
      <c r="AC188" s="302"/>
      <c r="AD188" s="302"/>
      <c r="AE188" s="302"/>
      <c r="AF188" s="302"/>
    </row>
    <row r="189" spans="1:32" ht="15" customHeight="1" x14ac:dyDescent="0.25">
      <c r="A189" s="333" t="str">
        <f>VLOOKUP($B189, выпечка!$A$1:$R$52, 17, FALSE)</f>
        <v>ПР</v>
      </c>
      <c r="B189" s="336" t="s">
        <v>1153</v>
      </c>
      <c r="C189" s="352">
        <v>10</v>
      </c>
      <c r="D189" s="353">
        <v>1.05</v>
      </c>
      <c r="E189" s="353">
        <v>1.25</v>
      </c>
      <c r="F189" s="322">
        <v>15</v>
      </c>
      <c r="G189" s="358">
        <v>101</v>
      </c>
      <c r="H189" s="392"/>
      <c r="I189" s="392"/>
      <c r="J189" s="392"/>
      <c r="K189" s="392"/>
      <c r="L189" s="392"/>
      <c r="M189" s="392"/>
      <c r="N189" s="392"/>
      <c r="O189" s="392"/>
      <c r="P189" s="392"/>
      <c r="Q189" s="392"/>
      <c r="R189" s="302"/>
      <c r="S189" s="302"/>
      <c r="T189" s="302"/>
      <c r="U189" s="302"/>
      <c r="V189" s="302"/>
      <c r="W189" s="302"/>
      <c r="X189" s="302"/>
      <c r="Y189" s="302"/>
      <c r="Z189" s="302"/>
      <c r="AA189" s="302"/>
      <c r="AB189" s="302"/>
      <c r="AC189" s="302"/>
      <c r="AD189" s="302"/>
      <c r="AE189" s="302"/>
      <c r="AF189" s="302"/>
    </row>
    <row r="190" spans="1:32" ht="24.95" customHeight="1" x14ac:dyDescent="0.25">
      <c r="A190" s="333" t="str">
        <f>VLOOKUP($B190, выпечка!$A$1:$R$52, 17, FALSE)</f>
        <v>ПР</v>
      </c>
      <c r="B190" s="336" t="s">
        <v>52</v>
      </c>
      <c r="C190" s="352">
        <v>50</v>
      </c>
      <c r="D190" s="353">
        <v>3.75</v>
      </c>
      <c r="E190" s="353">
        <v>0.38</v>
      </c>
      <c r="F190" s="353">
        <v>24.63</v>
      </c>
      <c r="G190" s="353">
        <v>117.25</v>
      </c>
      <c r="H190" s="260"/>
      <c r="I190" s="260"/>
      <c r="J190" s="260"/>
      <c r="K190" s="260"/>
      <c r="L190" s="260"/>
      <c r="M190" s="260"/>
      <c r="N190" s="260"/>
      <c r="O190" s="260"/>
      <c r="P190" s="260"/>
      <c r="Q190" s="260"/>
      <c r="R190" s="302"/>
      <c r="S190" s="302"/>
      <c r="T190" s="302"/>
      <c r="U190" s="302"/>
      <c r="V190" s="302"/>
      <c r="W190" s="302"/>
      <c r="X190" s="302"/>
      <c r="Y190" s="302"/>
      <c r="Z190" s="302"/>
      <c r="AA190" s="302"/>
      <c r="AB190" s="302"/>
      <c r="AC190" s="302"/>
      <c r="AD190" s="302"/>
      <c r="AE190" s="302"/>
      <c r="AF190" s="302"/>
    </row>
    <row r="191" spans="1:32" ht="15" customHeight="1" x14ac:dyDescent="0.25">
      <c r="A191" s="346" t="str">
        <f>VLOOKUP($B191, выпечка!$A$1:$R$52, 17, FALSE)</f>
        <v>ПР</v>
      </c>
      <c r="B191" s="227" t="s">
        <v>1026</v>
      </c>
      <c r="C191" s="352">
        <v>30</v>
      </c>
      <c r="D191" s="353">
        <v>2.41</v>
      </c>
      <c r="E191" s="353">
        <v>0.37</v>
      </c>
      <c r="F191" s="353">
        <v>14.62</v>
      </c>
      <c r="G191" s="353">
        <v>72.33</v>
      </c>
      <c r="H191" s="260"/>
      <c r="I191" s="260"/>
      <c r="J191" s="260"/>
      <c r="K191" s="260"/>
      <c r="L191" s="260"/>
      <c r="M191" s="260"/>
      <c r="N191" s="260"/>
      <c r="O191" s="260"/>
      <c r="P191" s="260"/>
      <c r="Q191" s="260"/>
      <c r="R191" s="302"/>
      <c r="S191" s="302"/>
      <c r="T191" s="302"/>
      <c r="U191" s="302"/>
      <c r="V191" s="302"/>
      <c r="W191" s="302"/>
      <c r="X191" s="302"/>
      <c r="Y191" s="302"/>
      <c r="Z191" s="302"/>
      <c r="AA191" s="302"/>
      <c r="AB191" s="302"/>
      <c r="AC191" s="302"/>
      <c r="AD191" s="302"/>
      <c r="AE191" s="302"/>
      <c r="AF191" s="302"/>
    </row>
    <row r="192" spans="1:32" ht="15" customHeight="1" x14ac:dyDescent="0.25">
      <c r="A192" s="333" t="s">
        <v>1176</v>
      </c>
      <c r="B192" s="227" t="s">
        <v>161</v>
      </c>
      <c r="C192" s="334">
        <f>VLOOKUP($B192, [5]напитки!$A$1:$R$34, 2, FALSE)</f>
        <v>200</v>
      </c>
      <c r="D192" s="353">
        <v>4.5999999999999996</v>
      </c>
      <c r="E192" s="353">
        <v>3.6</v>
      </c>
      <c r="F192" s="353">
        <v>12.6</v>
      </c>
      <c r="G192" s="360">
        <v>100.4</v>
      </c>
      <c r="H192" s="260"/>
      <c r="I192" s="260"/>
      <c r="J192" s="260"/>
      <c r="K192" s="260"/>
      <c r="L192" s="260"/>
      <c r="M192" s="260"/>
      <c r="N192" s="260"/>
      <c r="O192" s="260"/>
      <c r="P192" s="260"/>
      <c r="Q192" s="260"/>
      <c r="R192" s="302"/>
      <c r="S192" s="302"/>
      <c r="T192" s="302"/>
      <c r="U192" s="302"/>
      <c r="V192" s="302"/>
      <c r="W192" s="302"/>
      <c r="X192" s="302"/>
      <c r="Y192" s="302"/>
      <c r="Z192" s="302"/>
      <c r="AA192" s="302"/>
      <c r="AB192" s="302"/>
      <c r="AC192" s="302"/>
      <c r="AD192" s="302"/>
      <c r="AE192" s="302"/>
      <c r="AF192" s="302"/>
    </row>
    <row r="193" spans="1:32" ht="15" customHeight="1" x14ac:dyDescent="0.25">
      <c r="A193" s="324"/>
      <c r="B193" s="337" t="s">
        <v>100</v>
      </c>
      <c r="C193" s="380">
        <f>C192+C191+C190+C189+C188+C187+C186+C185</f>
        <v>650</v>
      </c>
      <c r="D193" s="325">
        <f>D192+D191+D190+D189+D188+D187+D186+D185</f>
        <v>22.959999999999997</v>
      </c>
      <c r="E193" s="325">
        <f t="shared" ref="E193:G193" si="16">E192+E191+E190+E189+E188+E187+E186+E185</f>
        <v>22.52</v>
      </c>
      <c r="F193" s="322">
        <f>F192+F191+F190+F189+F188+F187+F186+F185</f>
        <v>99.049999999999983</v>
      </c>
      <c r="G193" s="325">
        <f t="shared" si="16"/>
        <v>808.61</v>
      </c>
      <c r="H193" s="260"/>
      <c r="I193" s="260"/>
      <c r="J193" s="260"/>
      <c r="K193" s="260"/>
      <c r="L193" s="260"/>
      <c r="M193" s="260"/>
      <c r="N193" s="260"/>
      <c r="O193" s="260"/>
      <c r="P193" s="260"/>
      <c r="Q193" s="260"/>
      <c r="R193" s="302"/>
      <c r="S193" s="302"/>
      <c r="T193" s="302"/>
      <c r="U193" s="302"/>
      <c r="V193" s="302"/>
      <c r="W193" s="302"/>
      <c r="X193" s="302"/>
      <c r="Y193" s="302"/>
      <c r="Z193" s="302"/>
      <c r="AA193" s="302"/>
      <c r="AB193" s="302"/>
      <c r="AC193" s="302"/>
      <c r="AD193" s="302"/>
      <c r="AE193" s="302"/>
      <c r="AF193" s="302"/>
    </row>
    <row r="194" spans="1:32" ht="15" customHeight="1" x14ac:dyDescent="0.25">
      <c r="A194" s="324"/>
      <c r="B194" s="329" t="s">
        <v>127</v>
      </c>
      <c r="C194" s="324"/>
      <c r="D194" s="324"/>
      <c r="E194" s="324"/>
      <c r="F194" s="322"/>
      <c r="G194" s="340"/>
      <c r="H194" s="260"/>
      <c r="I194" s="260"/>
      <c r="J194" s="260"/>
      <c r="K194" s="260"/>
      <c r="L194" s="260"/>
      <c r="M194" s="260"/>
      <c r="N194" s="260"/>
      <c r="O194" s="260"/>
      <c r="P194" s="260"/>
      <c r="Q194" s="260"/>
      <c r="R194" s="302"/>
      <c r="S194" s="302"/>
      <c r="T194" s="302"/>
      <c r="U194" s="302"/>
      <c r="V194" s="302"/>
      <c r="W194" s="302"/>
      <c r="X194" s="302"/>
      <c r="Y194" s="302"/>
      <c r="Z194" s="302"/>
      <c r="AA194" s="302"/>
      <c r="AB194" s="302"/>
      <c r="AC194" s="302"/>
      <c r="AD194" s="302"/>
      <c r="AE194" s="302"/>
      <c r="AF194" s="302"/>
    </row>
    <row r="195" spans="1:32" ht="15" customHeight="1" x14ac:dyDescent="0.25">
      <c r="A195" s="333" t="s">
        <v>1142</v>
      </c>
      <c r="B195" s="227" t="s">
        <v>151</v>
      </c>
      <c r="C195" s="334">
        <v>100</v>
      </c>
      <c r="D195" s="335">
        <v>0.8</v>
      </c>
      <c r="E195" s="335">
        <v>2.7</v>
      </c>
      <c r="F195" s="353">
        <v>4.5999999999999996</v>
      </c>
      <c r="G195" s="338">
        <v>45.6</v>
      </c>
      <c r="H195" s="260"/>
      <c r="I195" s="260"/>
      <c r="J195" s="260"/>
      <c r="K195" s="260"/>
      <c r="L195" s="260"/>
      <c r="M195" s="260"/>
      <c r="N195" s="260"/>
      <c r="O195" s="260"/>
      <c r="P195" s="260"/>
      <c r="Q195" s="260"/>
      <c r="R195" s="302"/>
      <c r="S195" s="302"/>
      <c r="T195" s="302"/>
      <c r="U195" s="302"/>
      <c r="V195" s="302"/>
      <c r="W195" s="302"/>
      <c r="X195" s="302"/>
      <c r="Y195" s="302"/>
      <c r="Z195" s="302"/>
      <c r="AA195" s="302"/>
      <c r="AB195" s="302"/>
      <c r="AC195" s="302"/>
      <c r="AD195" s="302"/>
      <c r="AE195" s="302"/>
      <c r="AF195" s="302"/>
    </row>
    <row r="196" spans="1:32" ht="15" customHeight="1" x14ac:dyDescent="0.25">
      <c r="A196" s="333" t="s">
        <v>1122</v>
      </c>
      <c r="B196" s="227" t="s">
        <v>43</v>
      </c>
      <c r="C196" s="334">
        <v>250</v>
      </c>
      <c r="D196" s="335">
        <v>2.02</v>
      </c>
      <c r="E196" s="335">
        <v>5.09</v>
      </c>
      <c r="F196" s="335">
        <v>8.98</v>
      </c>
      <c r="G196" s="338">
        <v>129.25</v>
      </c>
      <c r="H196" s="260"/>
      <c r="I196" s="260"/>
      <c r="J196" s="260"/>
      <c r="K196" s="260"/>
      <c r="L196" s="260"/>
      <c r="M196" s="260"/>
      <c r="N196" s="260"/>
      <c r="O196" s="260"/>
      <c r="P196" s="260"/>
      <c r="Q196" s="260"/>
      <c r="R196" s="302"/>
      <c r="S196" s="302"/>
      <c r="T196" s="302"/>
      <c r="U196" s="302"/>
      <c r="V196" s="302"/>
      <c r="W196" s="302"/>
      <c r="X196" s="302"/>
      <c r="Y196" s="302"/>
      <c r="Z196" s="302"/>
      <c r="AA196" s="302"/>
      <c r="AB196" s="302"/>
      <c r="AC196" s="302"/>
      <c r="AD196" s="302"/>
      <c r="AE196" s="302"/>
      <c r="AF196" s="302"/>
    </row>
    <row r="197" spans="1:32" ht="15" hidden="1" customHeight="1" x14ac:dyDescent="0.25">
      <c r="A197" s="333"/>
      <c r="B197" s="227"/>
      <c r="C197" s="334"/>
      <c r="D197" s="335"/>
      <c r="E197" s="335"/>
      <c r="F197" s="322"/>
      <c r="G197" s="338"/>
      <c r="H197" s="260"/>
      <c r="I197" s="260"/>
      <c r="J197" s="260"/>
      <c r="K197" s="260"/>
      <c r="L197" s="260"/>
      <c r="M197" s="260"/>
      <c r="N197" s="260"/>
      <c r="O197" s="260"/>
      <c r="P197" s="260"/>
      <c r="Q197" s="260"/>
      <c r="R197" s="302"/>
      <c r="S197" s="302"/>
      <c r="T197" s="302"/>
      <c r="U197" s="302"/>
      <c r="V197" s="302"/>
      <c r="W197" s="302"/>
      <c r="X197" s="302"/>
      <c r="Y197" s="302"/>
      <c r="Z197" s="302"/>
      <c r="AA197" s="302"/>
      <c r="AB197" s="302"/>
      <c r="AC197" s="302"/>
      <c r="AD197" s="302"/>
      <c r="AE197" s="302"/>
      <c r="AF197" s="302"/>
    </row>
    <row r="198" spans="1:32" s="85" customFormat="1" ht="24" customHeight="1" x14ac:dyDescent="0.25">
      <c r="A198" s="333" t="s">
        <v>1164</v>
      </c>
      <c r="B198" s="336" t="s">
        <v>1066</v>
      </c>
      <c r="C198" s="334">
        <v>220</v>
      </c>
      <c r="D198" s="335">
        <v>7.9</v>
      </c>
      <c r="E198" s="335">
        <v>9.6999999999999993</v>
      </c>
      <c r="F198" s="335">
        <v>6.4</v>
      </c>
      <c r="G198" s="338">
        <v>186.4</v>
      </c>
      <c r="H198" s="258"/>
      <c r="I198" s="258"/>
      <c r="J198" s="258"/>
      <c r="K198" s="258"/>
      <c r="L198" s="258"/>
      <c r="M198" s="258"/>
      <c r="N198" s="258"/>
      <c r="O198" s="258"/>
      <c r="P198" s="258"/>
      <c r="Q198" s="258"/>
      <c r="R198" s="295"/>
      <c r="S198" s="295"/>
      <c r="T198" s="295"/>
      <c r="U198" s="295"/>
      <c r="V198" s="295"/>
      <c r="W198" s="295"/>
      <c r="X198" s="295"/>
      <c r="Y198" s="295"/>
      <c r="Z198" s="295"/>
      <c r="AA198" s="295"/>
      <c r="AB198" s="295"/>
      <c r="AC198" s="295"/>
      <c r="AD198" s="295"/>
      <c r="AE198" s="295"/>
      <c r="AF198" s="295"/>
    </row>
    <row r="199" spans="1:32" s="85" customFormat="1" ht="15" customHeight="1" x14ac:dyDescent="0.25">
      <c r="A199" s="333" t="str">
        <f>VLOOKUP($B199, выпечка!$A$1:$R$52, 17, FALSE)</f>
        <v>ПР</v>
      </c>
      <c r="B199" s="336" t="s">
        <v>52</v>
      </c>
      <c r="C199" s="352">
        <v>60</v>
      </c>
      <c r="D199" s="353">
        <v>4.5999999999999996</v>
      </c>
      <c r="E199" s="353">
        <v>0.5</v>
      </c>
      <c r="F199" s="353">
        <v>29.5</v>
      </c>
      <c r="G199" s="353">
        <v>140.6</v>
      </c>
      <c r="H199" s="258"/>
      <c r="I199" s="258"/>
      <c r="J199" s="258"/>
      <c r="K199" s="258"/>
      <c r="L199" s="258"/>
      <c r="M199" s="258"/>
      <c r="N199" s="258"/>
      <c r="O199" s="258"/>
      <c r="P199" s="258"/>
      <c r="Q199" s="258"/>
      <c r="R199" s="295"/>
      <c r="S199" s="295"/>
      <c r="T199" s="295"/>
      <c r="U199" s="295"/>
      <c r="V199" s="295"/>
      <c r="W199" s="295"/>
      <c r="X199" s="295"/>
      <c r="Y199" s="295"/>
      <c r="Z199" s="295"/>
      <c r="AA199" s="295"/>
      <c r="AB199" s="295"/>
      <c r="AC199" s="295"/>
      <c r="AD199" s="295"/>
      <c r="AE199" s="295"/>
      <c r="AF199" s="295"/>
    </row>
    <row r="200" spans="1:32" s="85" customFormat="1" ht="15" customHeight="1" x14ac:dyDescent="0.25">
      <c r="A200" s="333" t="str">
        <f>VLOOKUP($B200, выпечка!$A$1:$R$52, 17, FALSE)</f>
        <v>ПР</v>
      </c>
      <c r="B200" s="227" t="s">
        <v>53</v>
      </c>
      <c r="C200" s="352">
        <v>40</v>
      </c>
      <c r="D200" s="353">
        <v>2.67</v>
      </c>
      <c r="E200" s="353">
        <v>0.53</v>
      </c>
      <c r="F200" s="353">
        <v>13.33</v>
      </c>
      <c r="G200" s="353">
        <f>VLOOKUP($B200, [3]выпечка!$A$1:$R$52, 8, FALSE)</f>
        <v>45.98</v>
      </c>
      <c r="H200" s="260"/>
      <c r="I200" s="260"/>
      <c r="J200" s="260"/>
      <c r="K200" s="260"/>
      <c r="L200" s="260"/>
      <c r="M200" s="260"/>
      <c r="N200" s="260"/>
      <c r="O200" s="260"/>
      <c r="P200" s="260"/>
      <c r="Q200" s="260"/>
      <c r="R200" s="295"/>
      <c r="S200" s="297"/>
      <c r="T200" s="37"/>
      <c r="U200" s="37"/>
      <c r="V200" s="37"/>
      <c r="W200" s="37"/>
      <c r="X200" s="297"/>
      <c r="Y200" s="297"/>
      <c r="Z200" s="37"/>
      <c r="AA200" s="37"/>
      <c r="AB200" s="37"/>
      <c r="AC200" s="37"/>
      <c r="AD200" s="303"/>
      <c r="AE200" s="303"/>
      <c r="AF200" s="297"/>
    </row>
    <row r="201" spans="1:32" ht="24.95" customHeight="1" x14ac:dyDescent="0.25">
      <c r="A201" s="333" t="s">
        <v>1173</v>
      </c>
      <c r="B201" s="336" t="s">
        <v>62</v>
      </c>
      <c r="C201" s="334">
        <f>VLOOKUP($B201, напитки!$A$1:$R$34, 2, FALSE)</f>
        <v>200</v>
      </c>
      <c r="D201" s="353">
        <v>0.5</v>
      </c>
      <c r="E201" s="353">
        <v>0</v>
      </c>
      <c r="F201" s="353">
        <v>19.8</v>
      </c>
      <c r="G201" s="353">
        <v>81</v>
      </c>
      <c r="H201" s="260"/>
      <c r="I201" s="260"/>
      <c r="J201" s="260"/>
      <c r="K201" s="260"/>
      <c r="L201" s="260"/>
      <c r="M201" s="260"/>
      <c r="N201" s="260"/>
      <c r="O201" s="260"/>
      <c r="P201" s="260"/>
      <c r="Q201" s="260"/>
      <c r="R201" s="302"/>
      <c r="S201" s="304"/>
      <c r="T201" s="286"/>
      <c r="U201" s="286"/>
      <c r="V201" s="286"/>
      <c r="W201" s="297"/>
      <c r="X201" s="297"/>
      <c r="Y201" s="298"/>
      <c r="Z201" s="37"/>
      <c r="AA201" s="37"/>
      <c r="AB201" s="286"/>
      <c r="AC201" s="286"/>
      <c r="AD201" s="305"/>
      <c r="AE201" s="286"/>
      <c r="AF201" s="302"/>
    </row>
    <row r="202" spans="1:32" ht="24.95" customHeight="1" x14ac:dyDescent="0.25">
      <c r="A202" s="333"/>
      <c r="B202" s="337" t="s">
        <v>100</v>
      </c>
      <c r="C202" s="325">
        <f>C201+C200+C199+C198+C197+C196+C195</f>
        <v>870</v>
      </c>
      <c r="D202" s="325">
        <f t="shared" ref="D202:G202" si="17">D201+D200+D199+D198+D197+D196+D195</f>
        <v>18.490000000000002</v>
      </c>
      <c r="E202" s="325">
        <f t="shared" si="17"/>
        <v>18.52</v>
      </c>
      <c r="F202" s="325">
        <f t="shared" si="17"/>
        <v>82.61</v>
      </c>
      <c r="G202" s="325">
        <f t="shared" si="17"/>
        <v>628.83000000000004</v>
      </c>
      <c r="H202" s="260"/>
      <c r="I202" s="260"/>
      <c r="J202" s="260"/>
      <c r="K202" s="260"/>
      <c r="L202" s="260"/>
      <c r="M202" s="260"/>
      <c r="N202" s="260"/>
      <c r="O202" s="260"/>
      <c r="P202" s="260"/>
      <c r="Q202" s="260"/>
      <c r="R202" s="302"/>
      <c r="S202" s="304"/>
      <c r="T202" s="286"/>
      <c r="U202" s="286"/>
      <c r="V202" s="286"/>
      <c r="W202" s="297"/>
      <c r="X202" s="297"/>
      <c r="Y202" s="298"/>
      <c r="Z202" s="37"/>
      <c r="AA202" s="37"/>
      <c r="AB202" s="286"/>
      <c r="AC202" s="286"/>
      <c r="AD202" s="305"/>
      <c r="AE202" s="286"/>
      <c r="AF202" s="302"/>
    </row>
    <row r="203" spans="1:32" ht="24.95" customHeight="1" x14ac:dyDescent="0.25">
      <c r="A203" s="324"/>
      <c r="B203" s="337" t="s">
        <v>143</v>
      </c>
      <c r="C203" s="324"/>
      <c r="D203" s="325">
        <f>D202+D193</f>
        <v>41.45</v>
      </c>
      <c r="E203" s="325">
        <f t="shared" ref="E203:G203" si="18">E202+E193</f>
        <v>41.04</v>
      </c>
      <c r="F203" s="325">
        <f t="shared" si="18"/>
        <v>181.65999999999997</v>
      </c>
      <c r="G203" s="325">
        <f t="shared" si="18"/>
        <v>1437.44</v>
      </c>
      <c r="H203" s="260"/>
      <c r="I203" s="260"/>
      <c r="J203" s="260"/>
      <c r="K203" s="260"/>
      <c r="L203" s="260"/>
      <c r="M203" s="260"/>
      <c r="N203" s="260"/>
      <c r="O203" s="260"/>
      <c r="P203" s="260"/>
      <c r="Q203" s="260"/>
      <c r="R203" s="302"/>
      <c r="S203" s="307"/>
      <c r="T203" s="285"/>
      <c r="U203" s="285"/>
      <c r="V203" s="285"/>
      <c r="W203" s="285"/>
      <c r="X203" s="297"/>
      <c r="Y203" s="298"/>
      <c r="Z203" s="37"/>
      <c r="AA203" s="37"/>
      <c r="AB203" s="286"/>
      <c r="AC203" s="286"/>
      <c r="AD203" s="305"/>
      <c r="AE203" s="286"/>
      <c r="AF203" s="302"/>
    </row>
    <row r="204" spans="1:32" ht="15" customHeight="1" x14ac:dyDescent="0.25">
      <c r="A204" s="404" t="s">
        <v>1079</v>
      </c>
      <c r="B204" s="405"/>
      <c r="C204" s="405"/>
      <c r="D204" s="405"/>
      <c r="E204" s="405"/>
      <c r="F204" s="405"/>
      <c r="G204" s="405"/>
      <c r="H204" s="260"/>
      <c r="I204" s="260"/>
      <c r="J204" s="260"/>
      <c r="K204" s="260"/>
      <c r="L204" s="260"/>
      <c r="M204" s="260"/>
      <c r="N204" s="260"/>
      <c r="O204" s="260"/>
      <c r="P204" s="260"/>
      <c r="Q204" s="260"/>
      <c r="R204" s="302"/>
      <c r="S204" s="45"/>
      <c r="T204" s="272"/>
      <c r="U204" s="272"/>
      <c r="V204" s="272"/>
      <c r="W204" s="272"/>
      <c r="X204" s="297"/>
      <c r="Y204" s="298"/>
      <c r="Z204" s="37"/>
      <c r="AA204" s="37"/>
      <c r="AB204" s="286"/>
      <c r="AC204" s="286"/>
      <c r="AD204" s="305"/>
      <c r="AE204" s="286"/>
      <c r="AF204" s="302"/>
    </row>
    <row r="205" spans="1:32" ht="15" customHeight="1" x14ac:dyDescent="0.25">
      <c r="A205" s="182"/>
      <c r="B205" s="329" t="s">
        <v>126</v>
      </c>
      <c r="C205" s="334"/>
      <c r="D205" s="335"/>
      <c r="E205" s="335"/>
      <c r="F205" s="335"/>
      <c r="G205" s="338"/>
      <c r="H205" s="260"/>
      <c r="I205" s="260"/>
      <c r="J205" s="260"/>
      <c r="K205" s="260"/>
      <c r="L205" s="260"/>
      <c r="M205" s="260"/>
      <c r="N205" s="260"/>
      <c r="O205" s="260"/>
      <c r="P205" s="260"/>
      <c r="Q205" s="260"/>
      <c r="R205" s="302"/>
      <c r="S205" s="302"/>
      <c r="T205" s="302"/>
      <c r="U205" s="302"/>
      <c r="V205" s="302"/>
      <c r="W205" s="302"/>
      <c r="X205" s="302"/>
      <c r="Y205" s="302"/>
      <c r="Z205" s="302"/>
      <c r="AA205" s="302"/>
      <c r="AB205" s="302"/>
      <c r="AC205" s="302"/>
      <c r="AD205" s="302"/>
      <c r="AE205" s="302"/>
      <c r="AF205" s="302"/>
    </row>
    <row r="206" spans="1:32" ht="15" customHeight="1" x14ac:dyDescent="0.25">
      <c r="A206" s="333" t="s">
        <v>1092</v>
      </c>
      <c r="B206" s="336" t="s">
        <v>30</v>
      </c>
      <c r="C206" s="334">
        <v>40</v>
      </c>
      <c r="D206" s="335">
        <v>0.4</v>
      </c>
      <c r="E206" s="335">
        <v>3.94</v>
      </c>
      <c r="F206" s="335">
        <v>20.62</v>
      </c>
      <c r="G206" s="338">
        <v>27.7</v>
      </c>
      <c r="H206" s="260"/>
      <c r="I206" s="260"/>
      <c r="J206" s="260"/>
      <c r="K206" s="260"/>
      <c r="L206" s="260"/>
      <c r="M206" s="260"/>
      <c r="N206" s="260"/>
      <c r="O206" s="261"/>
      <c r="P206" s="261"/>
      <c r="Q206" s="261"/>
    </row>
    <row r="207" spans="1:32" ht="15" customHeight="1" x14ac:dyDescent="0.25">
      <c r="A207" s="333" t="s">
        <v>1046</v>
      </c>
      <c r="B207" s="227" t="s">
        <v>1044</v>
      </c>
      <c r="C207" s="334">
        <v>180</v>
      </c>
      <c r="D207" s="335">
        <v>3.2</v>
      </c>
      <c r="E207" s="335">
        <v>5.2</v>
      </c>
      <c r="F207" s="335">
        <v>19.8</v>
      </c>
      <c r="G207" s="338">
        <v>139.4</v>
      </c>
      <c r="H207" s="261"/>
      <c r="I207" s="261"/>
      <c r="J207" s="261"/>
      <c r="K207" s="261"/>
      <c r="L207" s="261"/>
      <c r="M207" s="261"/>
      <c r="N207" s="261"/>
      <c r="O207" s="261"/>
      <c r="P207" s="261"/>
      <c r="Q207" s="261"/>
    </row>
    <row r="208" spans="1:32" ht="17.25" customHeight="1" x14ac:dyDescent="0.25">
      <c r="A208" s="333" t="s">
        <v>1179</v>
      </c>
      <c r="B208" s="227" t="s">
        <v>1045</v>
      </c>
      <c r="C208" s="334">
        <v>120</v>
      </c>
      <c r="D208" s="353">
        <v>8.9</v>
      </c>
      <c r="E208" s="353">
        <v>8.23</v>
      </c>
      <c r="F208" s="353">
        <v>26.1</v>
      </c>
      <c r="G208" s="360">
        <v>182.2</v>
      </c>
      <c r="H208" s="282"/>
      <c r="I208" s="282"/>
      <c r="J208" s="282"/>
      <c r="K208" s="282"/>
      <c r="L208" s="282"/>
      <c r="M208" s="282"/>
      <c r="N208" s="282"/>
      <c r="O208" s="282"/>
      <c r="P208" s="282"/>
      <c r="Q208" s="257"/>
    </row>
    <row r="209" spans="1:32" ht="21.75" customHeight="1" x14ac:dyDescent="0.25">
      <c r="A209" s="333" t="str">
        <f>VLOOKUP($B209, выпечка!$A$1:$R$52, 17, FALSE)</f>
        <v>ПР</v>
      </c>
      <c r="B209" s="336" t="s">
        <v>52</v>
      </c>
      <c r="C209" s="352">
        <v>50</v>
      </c>
      <c r="D209" s="353">
        <v>3.75</v>
      </c>
      <c r="E209" s="353">
        <v>0.38</v>
      </c>
      <c r="F209" s="353">
        <v>24.63</v>
      </c>
      <c r="G209" s="353">
        <v>117.25</v>
      </c>
      <c r="H209" s="260"/>
      <c r="I209" s="260"/>
      <c r="J209" s="260"/>
      <c r="K209" s="260"/>
      <c r="L209" s="260"/>
      <c r="M209" s="260"/>
      <c r="N209" s="260"/>
      <c r="O209" s="260"/>
      <c r="P209" s="260"/>
      <c r="Q209" s="260"/>
    </row>
    <row r="210" spans="1:32" ht="21.75" customHeight="1" x14ac:dyDescent="0.25">
      <c r="A210" s="333" t="str">
        <f>VLOOKUP($B210, выпечка!$A$1:$R$52, 17, FALSE)</f>
        <v>ПР</v>
      </c>
      <c r="B210" s="227" t="s">
        <v>1026</v>
      </c>
      <c r="C210" s="352">
        <v>30</v>
      </c>
      <c r="D210" s="353">
        <v>2.41</v>
      </c>
      <c r="E210" s="353">
        <v>0.37</v>
      </c>
      <c r="F210" s="353">
        <v>14.62</v>
      </c>
      <c r="G210" s="353">
        <v>72.33</v>
      </c>
      <c r="H210" s="260"/>
      <c r="I210" s="260"/>
      <c r="J210" s="260"/>
      <c r="K210" s="260"/>
      <c r="L210" s="260"/>
      <c r="M210" s="260"/>
      <c r="N210" s="260"/>
      <c r="O210" s="260"/>
      <c r="P210" s="260"/>
      <c r="Q210" s="260"/>
    </row>
    <row r="211" spans="1:32" ht="21.75" hidden="1" customHeight="1" x14ac:dyDescent="0.25">
      <c r="A211" s="333"/>
      <c r="B211" s="227"/>
      <c r="C211" s="334"/>
      <c r="D211" s="335"/>
      <c r="E211" s="335"/>
      <c r="F211" s="335"/>
      <c r="G211" s="335"/>
      <c r="H211" s="260"/>
      <c r="I211" s="260"/>
      <c r="J211" s="260"/>
      <c r="K211" s="260"/>
      <c r="L211" s="260"/>
      <c r="M211" s="260"/>
      <c r="N211" s="260"/>
      <c r="O211" s="260"/>
      <c r="P211" s="260"/>
      <c r="Q211" s="260"/>
    </row>
    <row r="212" spans="1:32" ht="15" customHeight="1" x14ac:dyDescent="0.25">
      <c r="A212" s="349" t="s">
        <v>1038</v>
      </c>
      <c r="B212" s="227" t="s">
        <v>59</v>
      </c>
      <c r="C212" s="334">
        <f>VLOOKUP($B212, напитки!$A$1:$R$34, 2, FALSE)</f>
        <v>200</v>
      </c>
      <c r="D212" s="335">
        <v>0.2</v>
      </c>
      <c r="E212" s="335">
        <v>0</v>
      </c>
      <c r="F212" s="335">
        <v>5.4</v>
      </c>
      <c r="G212" s="338">
        <v>26.8</v>
      </c>
      <c r="H212" s="260"/>
      <c r="I212" s="260"/>
      <c r="J212" s="260"/>
      <c r="K212" s="260"/>
      <c r="L212" s="260"/>
      <c r="M212" s="260"/>
      <c r="N212" s="260"/>
      <c r="O212" s="260"/>
      <c r="P212" s="260"/>
      <c r="Q212" s="260"/>
    </row>
    <row r="213" spans="1:32" ht="24.95" customHeight="1" x14ac:dyDescent="0.25">
      <c r="A213" s="324"/>
      <c r="B213" s="337" t="s">
        <v>100</v>
      </c>
      <c r="C213" s="325">
        <f>SUM(C206:C212)</f>
        <v>620</v>
      </c>
      <c r="D213" s="325">
        <f t="shared" ref="D213:G213" si="19">SUM(D206:D212)</f>
        <v>18.86</v>
      </c>
      <c r="E213" s="325">
        <f t="shared" si="19"/>
        <v>18.12</v>
      </c>
      <c r="F213" s="325">
        <f t="shared" si="19"/>
        <v>111.17000000000002</v>
      </c>
      <c r="G213" s="325">
        <f t="shared" si="19"/>
        <v>565.67999999999995</v>
      </c>
      <c r="H213" s="260"/>
      <c r="I213" s="260"/>
      <c r="J213" s="260"/>
      <c r="K213" s="260"/>
      <c r="L213" s="260"/>
      <c r="M213" s="260"/>
      <c r="N213" s="260"/>
      <c r="O213" s="260"/>
      <c r="P213" s="260"/>
      <c r="Q213" s="260"/>
    </row>
    <row r="214" spans="1:32" ht="15" customHeight="1" x14ac:dyDescent="0.25">
      <c r="A214" s="324"/>
      <c r="B214" s="329" t="s">
        <v>127</v>
      </c>
      <c r="C214" s="324"/>
      <c r="D214" s="324"/>
      <c r="E214" s="324"/>
      <c r="F214" s="324"/>
      <c r="G214" s="340"/>
      <c r="H214" s="260"/>
      <c r="I214" s="260"/>
      <c r="J214" s="260"/>
      <c r="K214" s="260"/>
      <c r="L214" s="260"/>
      <c r="M214" s="260"/>
      <c r="N214" s="260"/>
      <c r="O214" s="260"/>
      <c r="P214" s="260"/>
      <c r="Q214" s="260"/>
    </row>
    <row r="215" spans="1:32" ht="15" customHeight="1" x14ac:dyDescent="0.25">
      <c r="A215" s="333" t="s">
        <v>1126</v>
      </c>
      <c r="B215" s="227" t="s">
        <v>1099</v>
      </c>
      <c r="C215" s="334">
        <v>100</v>
      </c>
      <c r="D215" s="353">
        <v>0.8</v>
      </c>
      <c r="E215" s="353">
        <v>0</v>
      </c>
      <c r="F215" s="353">
        <v>5.9</v>
      </c>
      <c r="G215" s="360">
        <v>24.7</v>
      </c>
      <c r="H215" s="260"/>
      <c r="I215" s="260"/>
      <c r="J215" s="260"/>
      <c r="K215" s="260"/>
      <c r="L215" s="260"/>
      <c r="M215" s="260"/>
      <c r="N215" s="260"/>
      <c r="O215" s="260"/>
      <c r="P215" s="260"/>
      <c r="Q215" s="260"/>
    </row>
    <row r="216" spans="1:32" ht="15" customHeight="1" x14ac:dyDescent="0.25">
      <c r="A216" s="349" t="s">
        <v>1134</v>
      </c>
      <c r="B216" s="350" t="s">
        <v>1088</v>
      </c>
      <c r="C216" s="352">
        <v>250</v>
      </c>
      <c r="D216" s="335">
        <v>2.0299999999999998</v>
      </c>
      <c r="E216" s="335">
        <v>4.92</v>
      </c>
      <c r="F216" s="335">
        <v>9.44</v>
      </c>
      <c r="G216" s="338">
        <v>117</v>
      </c>
      <c r="H216" s="260"/>
      <c r="I216" s="260"/>
      <c r="J216" s="260"/>
      <c r="K216" s="260"/>
      <c r="L216" s="260"/>
      <c r="M216" s="260"/>
      <c r="N216" s="260"/>
      <c r="O216" s="260"/>
      <c r="P216" s="260"/>
      <c r="Q216" s="260"/>
    </row>
    <row r="217" spans="1:32" ht="15" customHeight="1" x14ac:dyDescent="0.25">
      <c r="A217" s="333" t="s">
        <v>1144</v>
      </c>
      <c r="B217" s="336" t="s">
        <v>919</v>
      </c>
      <c r="C217" s="324">
        <v>210</v>
      </c>
      <c r="D217" s="322">
        <v>15.3</v>
      </c>
      <c r="E217" s="322">
        <v>14.7</v>
      </c>
      <c r="F217" s="322">
        <v>38.6</v>
      </c>
      <c r="G217" s="322">
        <v>348.3</v>
      </c>
      <c r="H217" s="260"/>
      <c r="I217" s="260"/>
      <c r="J217" s="260"/>
      <c r="K217" s="260"/>
      <c r="L217" s="260"/>
      <c r="M217" s="260"/>
      <c r="N217" s="260"/>
      <c r="O217" s="260"/>
      <c r="P217" s="260"/>
      <c r="Q217" s="260"/>
    </row>
    <row r="218" spans="1:32" s="85" customFormat="1" ht="22.5" hidden="1" customHeight="1" x14ac:dyDescent="0.25">
      <c r="A218" s="333" t="s">
        <v>1071</v>
      </c>
      <c r="B218" s="227"/>
      <c r="C218" s="334"/>
      <c r="D218" s="335"/>
      <c r="E218" s="335"/>
      <c r="F218" s="353"/>
      <c r="G218" s="335"/>
      <c r="H218" s="258"/>
      <c r="I218" s="258"/>
      <c r="J218" s="258"/>
      <c r="K218" s="258"/>
      <c r="L218" s="258"/>
      <c r="M218" s="258"/>
      <c r="N218" s="258"/>
      <c r="O218" s="258"/>
      <c r="P218" s="258"/>
      <c r="Q218" s="258"/>
    </row>
    <row r="219" spans="1:32" s="85" customFormat="1" ht="15" hidden="1" customHeight="1" x14ac:dyDescent="0.25">
      <c r="A219" s="333"/>
      <c r="B219" s="227"/>
      <c r="C219" s="334"/>
      <c r="D219" s="335"/>
      <c r="E219" s="335"/>
      <c r="F219" s="353"/>
      <c r="G219" s="338"/>
      <c r="H219" s="259"/>
      <c r="I219" s="259"/>
      <c r="J219" s="259"/>
      <c r="K219" s="259"/>
      <c r="L219" s="259"/>
      <c r="M219" s="259"/>
      <c r="N219" s="259"/>
      <c r="O219" s="259"/>
      <c r="P219" s="259"/>
      <c r="Q219" s="259"/>
    </row>
    <row r="220" spans="1:32" s="85" customFormat="1" ht="21.75" customHeight="1" x14ac:dyDescent="0.25">
      <c r="A220" s="333" t="str">
        <f>VLOOKUP($B220, выпечка!$A$1:$R$52, 17, FALSE)</f>
        <v>ПР</v>
      </c>
      <c r="B220" s="336" t="s">
        <v>52</v>
      </c>
      <c r="C220" s="352">
        <v>60</v>
      </c>
      <c r="D220" s="353">
        <v>4.5999999999999996</v>
      </c>
      <c r="E220" s="353">
        <v>0.5</v>
      </c>
      <c r="F220" s="353">
        <v>29.5</v>
      </c>
      <c r="G220" s="353">
        <v>140.6</v>
      </c>
      <c r="H220" s="258"/>
      <c r="I220" s="258"/>
      <c r="J220" s="258"/>
      <c r="K220" s="258"/>
      <c r="L220" s="258"/>
      <c r="M220" s="258"/>
      <c r="N220" s="258"/>
      <c r="O220" s="258"/>
      <c r="P220" s="258"/>
      <c r="Q220" s="258"/>
      <c r="R220" s="295"/>
      <c r="S220" s="295"/>
      <c r="T220" s="295"/>
      <c r="U220" s="295"/>
      <c r="V220" s="295"/>
      <c r="W220" s="295"/>
      <c r="X220" s="295"/>
      <c r="Y220" s="295"/>
      <c r="Z220" s="295"/>
      <c r="AA220" s="295"/>
      <c r="AB220" s="295"/>
      <c r="AC220" s="295"/>
      <c r="AD220" s="295"/>
      <c r="AE220" s="295"/>
      <c r="AF220" s="295"/>
    </row>
    <row r="221" spans="1:32" s="85" customFormat="1" ht="15" customHeight="1" x14ac:dyDescent="0.25">
      <c r="A221" s="333" t="str">
        <f>VLOOKUP($B221, выпечка!$A$1:$R$52, 17, FALSE)</f>
        <v>ПР</v>
      </c>
      <c r="B221" s="227" t="s">
        <v>53</v>
      </c>
      <c r="C221" s="352">
        <v>40</v>
      </c>
      <c r="D221" s="353">
        <v>2.67</v>
      </c>
      <c r="E221" s="353">
        <v>0.53</v>
      </c>
      <c r="F221" s="353">
        <v>13.33</v>
      </c>
      <c r="G221" s="353">
        <f>VLOOKUP($B221, [3]выпечка!$A$1:$R$52, 8, FALSE)</f>
        <v>45.98</v>
      </c>
      <c r="H221" s="260"/>
      <c r="I221" s="260"/>
      <c r="J221" s="260"/>
      <c r="K221" s="260"/>
      <c r="L221" s="260"/>
      <c r="M221" s="260"/>
      <c r="N221" s="260"/>
      <c r="O221" s="260"/>
      <c r="P221" s="260"/>
      <c r="Q221" s="260"/>
      <c r="R221" s="295"/>
      <c r="S221" s="297"/>
      <c r="T221" s="37"/>
      <c r="U221" s="37"/>
      <c r="V221" s="37"/>
      <c r="W221" s="37"/>
      <c r="X221" s="297"/>
      <c r="Y221" s="297"/>
      <c r="Z221" s="37"/>
      <c r="AA221" s="37"/>
      <c r="AB221" s="37"/>
      <c r="AC221" s="37"/>
      <c r="AD221" s="303"/>
      <c r="AE221" s="303"/>
      <c r="AF221" s="297"/>
    </row>
    <row r="222" spans="1:32" s="327" customFormat="1" ht="15" customHeight="1" x14ac:dyDescent="0.25">
      <c r="A222" s="333" t="s">
        <v>1085</v>
      </c>
      <c r="B222" s="227" t="s">
        <v>1037</v>
      </c>
      <c r="C222" s="334">
        <f>VLOOKUP($B222, напитки!$A$1:$R$34, 2, FALSE)</f>
        <v>200</v>
      </c>
      <c r="D222" s="335">
        <v>0.2</v>
      </c>
      <c r="E222" s="335">
        <v>0</v>
      </c>
      <c r="F222" s="335">
        <v>6.4</v>
      </c>
      <c r="G222" s="338">
        <v>26.8</v>
      </c>
      <c r="H222" s="260"/>
      <c r="I222" s="260"/>
      <c r="J222" s="260"/>
      <c r="K222" s="260"/>
      <c r="L222" s="260"/>
      <c r="M222" s="260"/>
      <c r="N222" s="260"/>
      <c r="O222" s="260"/>
      <c r="P222" s="260"/>
      <c r="Q222" s="260"/>
      <c r="R222" s="295"/>
      <c r="S222" s="297"/>
      <c r="T222" s="37"/>
      <c r="U222" s="37"/>
      <c r="V222" s="37"/>
      <c r="W222" s="37"/>
      <c r="X222" s="297"/>
      <c r="Y222" s="297"/>
      <c r="Z222" s="37"/>
      <c r="AA222" s="37"/>
      <c r="AB222" s="37"/>
      <c r="AC222" s="37"/>
      <c r="AD222" s="303"/>
      <c r="AE222" s="303"/>
      <c r="AF222" s="297"/>
    </row>
    <row r="223" spans="1:32" s="378" customFormat="1" ht="15" customHeight="1" x14ac:dyDescent="0.25">
      <c r="A223" s="333"/>
      <c r="B223" s="337" t="s">
        <v>100</v>
      </c>
      <c r="C223" s="325">
        <f>C222+C221+C220+C217+C216+C215</f>
        <v>860</v>
      </c>
      <c r="D223" s="325">
        <f t="shared" ref="D223:G223" si="20">D222+D221+D220+D217+D216+D215</f>
        <v>25.6</v>
      </c>
      <c r="E223" s="325">
        <f t="shared" si="20"/>
        <v>20.65</v>
      </c>
      <c r="F223" s="325">
        <f t="shared" si="20"/>
        <v>103.17000000000002</v>
      </c>
      <c r="G223" s="325">
        <f t="shared" si="20"/>
        <v>703.38000000000011</v>
      </c>
      <c r="H223" s="260"/>
      <c r="I223" s="260"/>
      <c r="J223" s="260"/>
      <c r="K223" s="260"/>
      <c r="L223" s="260"/>
      <c r="M223" s="260"/>
      <c r="N223" s="260"/>
      <c r="O223" s="260"/>
      <c r="P223" s="260"/>
      <c r="Q223" s="260"/>
      <c r="R223" s="295"/>
      <c r="S223" s="297"/>
      <c r="T223" s="37"/>
      <c r="U223" s="37"/>
      <c r="V223" s="37"/>
      <c r="W223" s="37"/>
      <c r="X223" s="297"/>
      <c r="Y223" s="297"/>
      <c r="Z223" s="37"/>
      <c r="AA223" s="37"/>
      <c r="AB223" s="37"/>
      <c r="AC223" s="37"/>
      <c r="AD223" s="303"/>
      <c r="AE223" s="303"/>
      <c r="AF223" s="297"/>
    </row>
    <row r="224" spans="1:32" ht="15" customHeight="1" x14ac:dyDescent="0.25">
      <c r="A224" s="324"/>
      <c r="B224" s="337" t="s">
        <v>143</v>
      </c>
      <c r="C224" s="324"/>
      <c r="D224" s="325">
        <f>D223+D213</f>
        <v>44.46</v>
      </c>
      <c r="E224" s="325">
        <f t="shared" ref="E224:G224" si="21">E223+E213</f>
        <v>38.769999999999996</v>
      </c>
      <c r="F224" s="325">
        <f t="shared" si="21"/>
        <v>214.34000000000003</v>
      </c>
      <c r="G224" s="325">
        <f t="shared" si="21"/>
        <v>1269.06</v>
      </c>
      <c r="H224" s="260"/>
      <c r="I224" s="260"/>
      <c r="J224" s="260"/>
      <c r="K224" s="260"/>
      <c r="L224" s="260"/>
      <c r="M224" s="260"/>
      <c r="N224" s="260"/>
      <c r="O224" s="260"/>
      <c r="P224" s="260"/>
      <c r="Q224" s="260"/>
      <c r="R224" s="302"/>
      <c r="S224" s="307"/>
      <c r="T224" s="285"/>
      <c r="U224" s="285"/>
      <c r="V224" s="285"/>
      <c r="W224" s="285"/>
      <c r="X224" s="297"/>
      <c r="Y224" s="298"/>
      <c r="Z224" s="37"/>
      <c r="AA224" s="37"/>
      <c r="AB224" s="286"/>
      <c r="AC224" s="286"/>
      <c r="AD224" s="305"/>
      <c r="AE224" s="286"/>
      <c r="AF224" s="302"/>
    </row>
    <row r="225" spans="1:32" ht="15" customHeight="1" x14ac:dyDescent="0.25">
      <c r="A225" s="404" t="s">
        <v>1082</v>
      </c>
      <c r="B225" s="405"/>
      <c r="C225" s="405"/>
      <c r="D225" s="405"/>
      <c r="E225" s="405"/>
      <c r="F225" s="405"/>
      <c r="G225" s="405"/>
      <c r="H225" s="260"/>
      <c r="I225" s="260"/>
      <c r="J225" s="260"/>
      <c r="K225" s="260"/>
      <c r="L225" s="260"/>
      <c r="M225" s="260"/>
      <c r="N225" s="260"/>
      <c r="O225" s="260"/>
      <c r="P225" s="260"/>
      <c r="Q225" s="260"/>
      <c r="R225" s="302"/>
      <c r="S225" s="45"/>
      <c r="T225" s="272"/>
      <c r="U225" s="272"/>
      <c r="V225" s="272"/>
      <c r="W225" s="272"/>
      <c r="X225" s="297"/>
      <c r="Y225" s="298"/>
      <c r="Z225" s="37"/>
      <c r="AA225" s="37"/>
      <c r="AB225" s="286"/>
      <c r="AC225" s="286"/>
      <c r="AD225" s="305"/>
      <c r="AE225" s="286"/>
      <c r="AF225" s="302"/>
    </row>
    <row r="226" spans="1:32" ht="15" customHeight="1" x14ac:dyDescent="0.25">
      <c r="A226" s="182"/>
      <c r="B226" s="329" t="s">
        <v>126</v>
      </c>
      <c r="C226" s="334"/>
      <c r="D226" s="335"/>
      <c r="E226" s="335"/>
      <c r="F226" s="335"/>
      <c r="G226" s="338"/>
      <c r="H226" s="260"/>
      <c r="I226" s="260"/>
      <c r="J226" s="260"/>
      <c r="K226" s="260"/>
      <c r="L226" s="260"/>
      <c r="M226" s="260"/>
      <c r="N226" s="260"/>
      <c r="O226" s="260"/>
      <c r="P226" s="260"/>
      <c r="Q226" s="260"/>
      <c r="R226" s="302"/>
      <c r="S226" s="302"/>
      <c r="T226" s="302"/>
      <c r="U226" s="302"/>
      <c r="V226" s="302"/>
      <c r="W226" s="302"/>
      <c r="X226" s="302"/>
      <c r="Y226" s="302"/>
      <c r="Z226" s="302"/>
      <c r="AA226" s="302"/>
      <c r="AB226" s="302"/>
      <c r="AC226" s="302"/>
      <c r="AD226" s="302"/>
      <c r="AE226" s="302"/>
      <c r="AF226" s="302"/>
    </row>
    <row r="227" spans="1:32" ht="15" customHeight="1" x14ac:dyDescent="0.25">
      <c r="A227" s="333" t="s">
        <v>1183</v>
      </c>
      <c r="B227" s="336" t="s">
        <v>1105</v>
      </c>
      <c r="C227" s="324">
        <v>60</v>
      </c>
      <c r="D227" s="322">
        <v>1</v>
      </c>
      <c r="E227" s="322">
        <v>6.1</v>
      </c>
      <c r="F227" s="322">
        <v>5.8</v>
      </c>
      <c r="G227" s="322">
        <v>81.5</v>
      </c>
      <c r="H227" s="260"/>
      <c r="I227" s="260"/>
      <c r="J227" s="260"/>
      <c r="K227" s="260"/>
      <c r="L227" s="260"/>
      <c r="M227" s="260"/>
      <c r="N227" s="260"/>
      <c r="O227" s="260"/>
      <c r="P227" s="260"/>
      <c r="Q227" s="260"/>
      <c r="R227" s="302"/>
      <c r="S227" s="302"/>
      <c r="T227" s="302"/>
      <c r="U227" s="302"/>
      <c r="V227" s="302"/>
      <c r="W227" s="302"/>
      <c r="X227" s="302"/>
      <c r="Y227" s="302"/>
      <c r="Z227" s="302"/>
      <c r="AA227" s="302"/>
      <c r="AB227" s="302"/>
      <c r="AC227" s="302"/>
      <c r="AD227" s="302"/>
      <c r="AE227" s="302"/>
      <c r="AF227" s="302"/>
    </row>
    <row r="228" spans="1:32" ht="15" customHeight="1" x14ac:dyDescent="0.25">
      <c r="A228" s="333" t="s">
        <v>1110</v>
      </c>
      <c r="B228" s="227" t="s">
        <v>41</v>
      </c>
      <c r="C228" s="324">
        <v>180</v>
      </c>
      <c r="D228" s="322">
        <v>3.7</v>
      </c>
      <c r="E228" s="322">
        <v>4.8</v>
      </c>
      <c r="F228" s="322">
        <v>16.5</v>
      </c>
      <c r="G228" s="322">
        <v>203.5</v>
      </c>
      <c r="H228" s="260"/>
      <c r="I228" s="260"/>
      <c r="J228" s="260"/>
      <c r="K228" s="260"/>
      <c r="L228" s="260"/>
      <c r="M228" s="260"/>
      <c r="N228" s="260"/>
      <c r="O228" s="261"/>
      <c r="P228" s="261"/>
      <c r="Q228" s="261"/>
      <c r="R228" s="302"/>
      <c r="S228" s="302"/>
      <c r="T228" s="302"/>
      <c r="U228" s="302"/>
      <c r="V228" s="302"/>
      <c r="W228" s="302"/>
      <c r="X228" s="302"/>
      <c r="Y228" s="302"/>
      <c r="Z228" s="302"/>
      <c r="AA228" s="302"/>
      <c r="AB228" s="302"/>
      <c r="AC228" s="302"/>
      <c r="AD228" s="302"/>
      <c r="AE228" s="302"/>
      <c r="AF228" s="302"/>
    </row>
    <row r="229" spans="1:32" ht="15" customHeight="1" x14ac:dyDescent="0.25">
      <c r="A229" s="333" t="s">
        <v>1143</v>
      </c>
      <c r="B229" s="336" t="s">
        <v>1180</v>
      </c>
      <c r="C229" s="324">
        <v>100</v>
      </c>
      <c r="D229" s="322">
        <v>13.7</v>
      </c>
      <c r="E229" s="322">
        <v>13.1</v>
      </c>
      <c r="F229" s="322">
        <v>19.399999999999999</v>
      </c>
      <c r="G229" s="322">
        <v>221.3</v>
      </c>
      <c r="H229" s="261"/>
      <c r="I229" s="261"/>
      <c r="J229" s="261"/>
      <c r="K229" s="261"/>
      <c r="L229" s="261"/>
      <c r="M229" s="261"/>
      <c r="N229" s="261"/>
      <c r="O229" s="261"/>
      <c r="P229" s="261"/>
      <c r="Q229" s="261"/>
      <c r="R229" s="302"/>
      <c r="S229" s="302"/>
      <c r="T229" s="302"/>
      <c r="U229" s="302"/>
      <c r="V229" s="302"/>
      <c r="W229" s="302"/>
      <c r="X229" s="302"/>
      <c r="Y229" s="302"/>
      <c r="Z229" s="302"/>
      <c r="AA229" s="302"/>
      <c r="AB229" s="302"/>
      <c r="AC229" s="302"/>
      <c r="AD229" s="302"/>
      <c r="AE229" s="302"/>
      <c r="AF229" s="302"/>
    </row>
    <row r="230" spans="1:32" ht="15" customHeight="1" x14ac:dyDescent="0.25">
      <c r="A230" s="333" t="str">
        <f>VLOOKUP($B230, выпечка!$A$1:$R$52, 17, FALSE)</f>
        <v>ПР</v>
      </c>
      <c r="B230" s="336" t="s">
        <v>52</v>
      </c>
      <c r="C230" s="352">
        <v>50</v>
      </c>
      <c r="D230" s="353">
        <v>3.75</v>
      </c>
      <c r="E230" s="353">
        <v>0.38</v>
      </c>
      <c r="F230" s="353">
        <v>24.63</v>
      </c>
      <c r="G230" s="353">
        <v>117.25</v>
      </c>
      <c r="H230" s="282"/>
      <c r="I230" s="282"/>
      <c r="J230" s="282"/>
      <c r="K230" s="282"/>
      <c r="L230" s="282"/>
      <c r="M230" s="282"/>
      <c r="N230" s="282"/>
      <c r="O230" s="282"/>
      <c r="P230" s="282"/>
      <c r="Q230" s="257"/>
      <c r="R230" s="302"/>
      <c r="S230" s="302"/>
      <c r="T230" s="302"/>
      <c r="U230" s="302"/>
      <c r="V230" s="302"/>
      <c r="W230" s="302"/>
      <c r="X230" s="302"/>
      <c r="Y230" s="302"/>
      <c r="Z230" s="302"/>
      <c r="AA230" s="302"/>
      <c r="AB230" s="302"/>
      <c r="AC230" s="302"/>
      <c r="AD230" s="302"/>
      <c r="AE230" s="302"/>
      <c r="AF230" s="302"/>
    </row>
    <row r="231" spans="1:32" ht="15" customHeight="1" x14ac:dyDescent="0.25">
      <c r="A231" s="333" t="str">
        <f>VLOOKUP($B231, выпечка!$A$1:$R$52, 17, FALSE)</f>
        <v>ПР</v>
      </c>
      <c r="B231" s="227" t="s">
        <v>1026</v>
      </c>
      <c r="C231" s="352">
        <v>30</v>
      </c>
      <c r="D231" s="353">
        <v>2.41</v>
      </c>
      <c r="E231" s="353">
        <v>0.37</v>
      </c>
      <c r="F231" s="353">
        <v>14.62</v>
      </c>
      <c r="G231" s="353">
        <v>72.33</v>
      </c>
      <c r="H231" s="314"/>
      <c r="I231" s="314"/>
      <c r="J231" s="314"/>
      <c r="K231" s="314"/>
      <c r="L231" s="314"/>
      <c r="M231" s="314"/>
      <c r="N231" s="314"/>
      <c r="O231" s="314"/>
      <c r="P231" s="314"/>
      <c r="Q231" s="314"/>
      <c r="R231" s="302"/>
      <c r="S231" s="302"/>
      <c r="T231" s="302"/>
      <c r="U231" s="302"/>
      <c r="V231" s="302"/>
      <c r="W231" s="302"/>
      <c r="X231" s="302"/>
      <c r="Y231" s="302"/>
      <c r="Z231" s="302"/>
      <c r="AA231" s="302"/>
      <c r="AB231" s="302"/>
      <c r="AC231" s="302"/>
      <c r="AD231" s="302"/>
      <c r="AE231" s="302"/>
      <c r="AF231" s="302"/>
    </row>
    <row r="232" spans="1:32" ht="15" customHeight="1" x14ac:dyDescent="0.25">
      <c r="A232" s="333" t="s">
        <v>1092</v>
      </c>
      <c r="B232" s="227" t="s">
        <v>1167</v>
      </c>
      <c r="C232" s="334">
        <v>125</v>
      </c>
      <c r="D232" s="353">
        <v>1</v>
      </c>
      <c r="E232" s="353">
        <v>0.2</v>
      </c>
      <c r="F232" s="353">
        <v>0.6</v>
      </c>
      <c r="G232" s="360">
        <v>96.6</v>
      </c>
      <c r="H232" s="401"/>
      <c r="I232" s="401"/>
      <c r="J232" s="401"/>
      <c r="K232" s="401"/>
      <c r="L232" s="401"/>
      <c r="M232" s="401"/>
      <c r="N232" s="401"/>
      <c r="O232" s="401"/>
      <c r="P232" s="401"/>
      <c r="Q232" s="401"/>
      <c r="R232" s="302"/>
      <c r="S232" s="302"/>
      <c r="T232" s="302"/>
      <c r="U232" s="302"/>
      <c r="V232" s="302"/>
      <c r="W232" s="302"/>
      <c r="X232" s="302"/>
      <c r="Y232" s="302"/>
      <c r="Z232" s="302"/>
      <c r="AA232" s="302"/>
      <c r="AB232" s="302"/>
      <c r="AC232" s="302"/>
      <c r="AD232" s="302"/>
      <c r="AE232" s="302"/>
      <c r="AF232" s="302"/>
    </row>
    <row r="233" spans="1:32" ht="15" customHeight="1" x14ac:dyDescent="0.25">
      <c r="A233" s="333" t="s">
        <v>1085</v>
      </c>
      <c r="B233" s="227" t="s">
        <v>1037</v>
      </c>
      <c r="C233" s="334">
        <f>VLOOKUP($B233, напитки!$A$1:$R$34, 2, FALSE)</f>
        <v>200</v>
      </c>
      <c r="D233" s="335">
        <v>0.2</v>
      </c>
      <c r="E233" s="335">
        <v>0</v>
      </c>
      <c r="F233" s="335">
        <v>5.4</v>
      </c>
      <c r="G233" s="338">
        <v>26.8</v>
      </c>
      <c r="H233" s="260"/>
      <c r="I233" s="260"/>
      <c r="J233" s="260"/>
      <c r="K233" s="260"/>
      <c r="L233" s="260"/>
      <c r="M233" s="260"/>
      <c r="N233" s="260"/>
      <c r="O233" s="260"/>
      <c r="P233" s="260"/>
      <c r="Q233" s="260"/>
      <c r="R233" s="302"/>
      <c r="S233" s="302"/>
      <c r="T233" s="302"/>
      <c r="U233" s="302"/>
      <c r="V233" s="302"/>
      <c r="W233" s="302"/>
      <c r="X233" s="302"/>
      <c r="Y233" s="302"/>
      <c r="Z233" s="302"/>
      <c r="AA233" s="302"/>
      <c r="AB233" s="302"/>
      <c r="AC233" s="302"/>
      <c r="AD233" s="302"/>
      <c r="AE233" s="302"/>
      <c r="AF233" s="302"/>
    </row>
    <row r="234" spans="1:32" ht="15" customHeight="1" x14ac:dyDescent="0.25">
      <c r="A234" s="324"/>
      <c r="B234" s="337" t="s">
        <v>100</v>
      </c>
      <c r="C234" s="380">
        <f>C233+C231+C230+C229+C228+C227</f>
        <v>620</v>
      </c>
      <c r="D234" s="325">
        <f>D233+D231+D230+D229+D228+D227</f>
        <v>24.759999999999998</v>
      </c>
      <c r="E234" s="325">
        <f>E233+E231+E230+E229+E228+E227</f>
        <v>24.75</v>
      </c>
      <c r="F234" s="325">
        <f>F233+F231+F230+F229+F228+F227</f>
        <v>86.35</v>
      </c>
      <c r="G234" s="325">
        <f>G233+G231+G230+G229+G228+G227</f>
        <v>722.68000000000006</v>
      </c>
      <c r="H234" s="260"/>
      <c r="I234" s="260"/>
      <c r="J234" s="260"/>
      <c r="K234" s="260"/>
      <c r="L234" s="260"/>
      <c r="M234" s="260"/>
      <c r="N234" s="260"/>
      <c r="O234" s="260"/>
      <c r="P234" s="260"/>
      <c r="Q234" s="260"/>
      <c r="R234" s="302"/>
      <c r="S234" s="302"/>
      <c r="T234" s="302"/>
      <c r="U234" s="302"/>
      <c r="V234" s="302"/>
      <c r="W234" s="302"/>
      <c r="X234" s="302"/>
      <c r="Y234" s="302"/>
      <c r="Z234" s="302"/>
      <c r="AA234" s="302"/>
      <c r="AB234" s="302"/>
      <c r="AC234" s="302"/>
      <c r="AD234" s="302"/>
      <c r="AE234" s="302"/>
      <c r="AF234" s="302"/>
    </row>
    <row r="235" spans="1:32" ht="15" customHeight="1" x14ac:dyDescent="0.25">
      <c r="A235" s="324"/>
      <c r="B235" s="329" t="s">
        <v>127</v>
      </c>
      <c r="C235" s="324"/>
      <c r="D235" s="325"/>
      <c r="E235" s="325"/>
      <c r="F235" s="325"/>
      <c r="G235" s="325"/>
      <c r="H235" s="260"/>
      <c r="I235" s="260"/>
      <c r="J235" s="260"/>
      <c r="K235" s="260"/>
      <c r="L235" s="260"/>
      <c r="M235" s="260"/>
      <c r="N235" s="260"/>
      <c r="O235" s="260"/>
      <c r="P235" s="260"/>
      <c r="Q235" s="260"/>
      <c r="R235" s="302"/>
      <c r="S235" s="302"/>
      <c r="T235" s="302"/>
      <c r="U235" s="302"/>
      <c r="V235" s="302"/>
      <c r="W235" s="302"/>
      <c r="X235" s="302"/>
      <c r="Y235" s="302"/>
      <c r="Z235" s="302"/>
      <c r="AA235" s="302"/>
      <c r="AB235" s="302"/>
      <c r="AC235" s="302"/>
      <c r="AD235" s="302"/>
      <c r="AE235" s="302"/>
      <c r="AF235" s="302"/>
    </row>
    <row r="236" spans="1:32" ht="15" customHeight="1" x14ac:dyDescent="0.25">
      <c r="A236" s="324" t="s">
        <v>1182</v>
      </c>
      <c r="B236" s="227" t="s">
        <v>147</v>
      </c>
      <c r="C236" s="334">
        <v>100</v>
      </c>
      <c r="D236" s="335">
        <v>1.33</v>
      </c>
      <c r="E236" s="335">
        <v>4.5</v>
      </c>
      <c r="F236" s="335">
        <v>4.5999999999999996</v>
      </c>
      <c r="G236" s="338">
        <v>76</v>
      </c>
      <c r="H236" s="260"/>
      <c r="I236" s="260"/>
      <c r="J236" s="260"/>
      <c r="K236" s="260"/>
      <c r="L236" s="260"/>
      <c r="M236" s="260"/>
      <c r="N236" s="260"/>
      <c r="O236" s="260"/>
      <c r="P236" s="260"/>
      <c r="Q236" s="260"/>
      <c r="R236" s="302"/>
      <c r="S236" s="302"/>
      <c r="T236" s="302"/>
      <c r="U236" s="302"/>
      <c r="V236" s="302"/>
      <c r="W236" s="302"/>
      <c r="X236" s="302"/>
      <c r="Y236" s="302"/>
      <c r="Z236" s="302"/>
      <c r="AA236" s="302"/>
      <c r="AB236" s="302"/>
      <c r="AC236" s="302"/>
      <c r="AD236" s="302"/>
      <c r="AE236" s="302"/>
      <c r="AF236" s="302"/>
    </row>
    <row r="237" spans="1:32" ht="15" customHeight="1" x14ac:dyDescent="0.25">
      <c r="A237" s="333" t="s">
        <v>1135</v>
      </c>
      <c r="B237" s="227" t="s">
        <v>1102</v>
      </c>
      <c r="C237" s="334">
        <v>250</v>
      </c>
      <c r="D237" s="353">
        <v>5.42</v>
      </c>
      <c r="E237" s="353">
        <v>5.27</v>
      </c>
      <c r="F237" s="353">
        <v>6.34</v>
      </c>
      <c r="G237" s="360">
        <v>145.75</v>
      </c>
      <c r="H237" s="260"/>
      <c r="I237" s="260"/>
      <c r="J237" s="260"/>
      <c r="K237" s="260"/>
      <c r="L237" s="260"/>
      <c r="M237" s="260"/>
      <c r="N237" s="260"/>
      <c r="O237" s="260"/>
      <c r="P237" s="260"/>
      <c r="Q237" s="260"/>
      <c r="R237" s="302"/>
      <c r="S237" s="302"/>
      <c r="T237" s="302"/>
      <c r="U237" s="302"/>
      <c r="V237" s="302"/>
      <c r="W237" s="302"/>
      <c r="X237" s="302"/>
      <c r="Y237" s="302"/>
      <c r="Z237" s="302"/>
      <c r="AA237" s="302"/>
      <c r="AB237" s="302"/>
      <c r="AC237" s="302"/>
      <c r="AD237" s="302"/>
      <c r="AE237" s="302"/>
      <c r="AF237" s="302"/>
    </row>
    <row r="238" spans="1:32" ht="15" hidden="1" customHeight="1" x14ac:dyDescent="0.25">
      <c r="A238" s="333" t="s">
        <v>1053</v>
      </c>
      <c r="B238" s="227"/>
      <c r="C238" s="324"/>
      <c r="D238" s="322"/>
      <c r="E238" s="322"/>
      <c r="F238" s="322"/>
      <c r="G238" s="322"/>
      <c r="H238" s="260"/>
      <c r="I238" s="260"/>
      <c r="J238" s="260"/>
      <c r="K238" s="260"/>
      <c r="L238" s="260"/>
      <c r="M238" s="260"/>
      <c r="N238" s="260"/>
      <c r="O238" s="260"/>
      <c r="P238" s="260"/>
      <c r="Q238" s="260"/>
      <c r="R238" s="302"/>
      <c r="S238" s="302"/>
      <c r="T238" s="302"/>
      <c r="U238" s="302"/>
      <c r="V238" s="302"/>
      <c r="W238" s="302"/>
      <c r="X238" s="302"/>
      <c r="Y238" s="302"/>
      <c r="Z238" s="302"/>
      <c r="AA238" s="302"/>
      <c r="AB238" s="302"/>
      <c r="AC238" s="302"/>
      <c r="AD238" s="302"/>
      <c r="AE238" s="302"/>
      <c r="AF238" s="302"/>
    </row>
    <row r="239" spans="1:32" s="85" customFormat="1" ht="20.25" customHeight="1" x14ac:dyDescent="0.25">
      <c r="A239" s="333" t="s">
        <v>1144</v>
      </c>
      <c r="B239" s="336" t="s">
        <v>917</v>
      </c>
      <c r="C239" s="324">
        <v>250</v>
      </c>
      <c r="D239" s="322">
        <v>15.3</v>
      </c>
      <c r="E239" s="322">
        <v>14.7</v>
      </c>
      <c r="F239" s="322">
        <v>44.6</v>
      </c>
      <c r="G239" s="322">
        <v>348.3</v>
      </c>
      <c r="H239" s="258"/>
      <c r="I239" s="258"/>
      <c r="J239" s="258"/>
      <c r="K239" s="258"/>
      <c r="L239" s="258"/>
      <c r="M239" s="258"/>
      <c r="N239" s="258"/>
      <c r="O239" s="258"/>
      <c r="P239" s="258"/>
      <c r="Q239" s="258"/>
      <c r="R239" s="295"/>
      <c r="S239" s="295"/>
      <c r="T239" s="295"/>
      <c r="U239" s="295"/>
      <c r="V239" s="295"/>
      <c r="W239" s="295"/>
      <c r="X239" s="295"/>
      <c r="Y239" s="295"/>
      <c r="Z239" s="295"/>
      <c r="AA239" s="295"/>
      <c r="AB239" s="295"/>
      <c r="AC239" s="295"/>
      <c r="AD239" s="295"/>
      <c r="AE239" s="295"/>
      <c r="AF239" s="295"/>
    </row>
    <row r="240" spans="1:32" s="85" customFormat="1" ht="15" hidden="1" customHeight="1" x14ac:dyDescent="0.25">
      <c r="A240" s="333" t="s">
        <v>1078</v>
      </c>
      <c r="B240" s="336"/>
      <c r="C240" s="324"/>
      <c r="D240" s="335"/>
      <c r="E240" s="335"/>
      <c r="F240" s="335"/>
      <c r="G240" s="338"/>
      <c r="H240" s="259"/>
      <c r="I240" s="259"/>
      <c r="J240" s="259"/>
      <c r="K240" s="259"/>
      <c r="L240" s="259"/>
      <c r="M240" s="259"/>
      <c r="N240" s="259"/>
      <c r="O240" s="259"/>
      <c r="P240" s="259"/>
      <c r="Q240" s="259"/>
      <c r="R240" s="295"/>
      <c r="S240" s="295"/>
      <c r="T240" s="295"/>
      <c r="U240" s="295"/>
      <c r="V240" s="295"/>
      <c r="W240" s="295"/>
      <c r="X240" s="295"/>
      <c r="Y240" s="295"/>
      <c r="Z240" s="295"/>
      <c r="AA240" s="295"/>
      <c r="AB240" s="295"/>
      <c r="AC240" s="295"/>
      <c r="AD240" s="295"/>
      <c r="AE240" s="295"/>
      <c r="AF240" s="295"/>
    </row>
    <row r="241" spans="1:32" s="85" customFormat="1" ht="15" customHeight="1" x14ac:dyDescent="0.25">
      <c r="A241" s="333" t="str">
        <f>VLOOKUP($B241, выпечка!$A$1:$R$52, 17, FALSE)</f>
        <v>ПР</v>
      </c>
      <c r="B241" s="336" t="s">
        <v>52</v>
      </c>
      <c r="C241" s="352">
        <v>60</v>
      </c>
      <c r="D241" s="353">
        <v>4.5999999999999996</v>
      </c>
      <c r="E241" s="353">
        <v>0.5</v>
      </c>
      <c r="F241" s="353">
        <v>29.5</v>
      </c>
      <c r="G241" s="353">
        <v>140.6</v>
      </c>
      <c r="H241" s="258"/>
      <c r="I241" s="258"/>
      <c r="J241" s="258"/>
      <c r="K241" s="258"/>
      <c r="L241" s="258"/>
      <c r="M241" s="258"/>
      <c r="N241" s="258"/>
      <c r="O241" s="258"/>
      <c r="P241" s="258"/>
      <c r="Q241" s="258"/>
      <c r="R241" s="295"/>
      <c r="S241" s="295"/>
      <c r="T241" s="295"/>
      <c r="U241" s="295"/>
      <c r="V241" s="295"/>
      <c r="W241" s="295"/>
      <c r="X241" s="295"/>
      <c r="Y241" s="295"/>
      <c r="Z241" s="295"/>
      <c r="AA241" s="295"/>
      <c r="AB241" s="295"/>
      <c r="AC241" s="295"/>
      <c r="AD241" s="295"/>
      <c r="AE241" s="295"/>
      <c r="AF241" s="295"/>
    </row>
    <row r="242" spans="1:32" s="85" customFormat="1" ht="15" customHeight="1" x14ac:dyDescent="0.25">
      <c r="A242" s="333" t="str">
        <f>VLOOKUP($B242, выпечка!$A$1:$R$52, 17, FALSE)</f>
        <v>ПР</v>
      </c>
      <c r="B242" s="227" t="s">
        <v>53</v>
      </c>
      <c r="C242" s="352">
        <v>40</v>
      </c>
      <c r="D242" s="353">
        <v>2.67</v>
      </c>
      <c r="E242" s="353">
        <v>0.53</v>
      </c>
      <c r="F242" s="353">
        <v>13.33</v>
      </c>
      <c r="G242" s="353">
        <f>VLOOKUP($B242, [3]выпечка!$A$1:$R$52, 8, FALSE)</f>
        <v>45.98</v>
      </c>
      <c r="H242" s="260"/>
      <c r="I242" s="260"/>
      <c r="J242" s="260"/>
      <c r="K242" s="260"/>
      <c r="L242" s="260"/>
      <c r="M242" s="260"/>
      <c r="N242" s="260"/>
      <c r="O242" s="260"/>
      <c r="P242" s="260"/>
      <c r="Q242" s="260"/>
      <c r="R242" s="295"/>
      <c r="S242" s="297"/>
      <c r="T242" s="37"/>
      <c r="U242" s="37"/>
      <c r="V242" s="37"/>
      <c r="W242" s="37"/>
      <c r="X242" s="297"/>
      <c r="Y242" s="297"/>
      <c r="Z242" s="37"/>
      <c r="AA242" s="37"/>
      <c r="AB242" s="37"/>
      <c r="AC242" s="37"/>
      <c r="AD242" s="303"/>
      <c r="AE242" s="303"/>
      <c r="AF242" s="297"/>
    </row>
    <row r="243" spans="1:32" ht="15" customHeight="1" x14ac:dyDescent="0.25">
      <c r="A243" s="333" t="s">
        <v>1111</v>
      </c>
      <c r="B243" s="336" t="s">
        <v>55</v>
      </c>
      <c r="C243" s="334">
        <v>200</v>
      </c>
      <c r="D243" s="335">
        <v>0.5</v>
      </c>
      <c r="E243" s="335">
        <v>0.2</v>
      </c>
      <c r="F243" s="335">
        <v>19.5</v>
      </c>
      <c r="G243" s="338">
        <v>81.3</v>
      </c>
      <c r="H243" s="260"/>
      <c r="I243" s="260"/>
      <c r="J243" s="260"/>
      <c r="K243" s="260"/>
      <c r="L243" s="260"/>
      <c r="M243" s="260"/>
      <c r="N243" s="260"/>
      <c r="O243" s="260"/>
      <c r="P243" s="260"/>
      <c r="Q243" s="260"/>
      <c r="R243" s="302"/>
      <c r="S243" s="304"/>
      <c r="T243" s="286"/>
      <c r="U243" s="286"/>
      <c r="V243" s="286"/>
      <c r="W243" s="297"/>
      <c r="X243" s="297"/>
      <c r="Y243" s="298"/>
      <c r="Z243" s="37"/>
      <c r="AA243" s="37"/>
      <c r="AB243" s="286"/>
      <c r="AC243" s="286"/>
      <c r="AD243" s="305"/>
      <c r="AE243" s="286"/>
      <c r="AF243" s="302"/>
    </row>
    <row r="244" spans="1:32" ht="15" customHeight="1" x14ac:dyDescent="0.25">
      <c r="A244" s="333"/>
      <c r="B244" s="337" t="s">
        <v>100</v>
      </c>
      <c r="C244" s="325">
        <f>C243+C242+C241+C239+C237+C236</f>
        <v>900</v>
      </c>
      <c r="D244" s="325">
        <f t="shared" ref="D244:G244" si="22">D243+D242+D241+D239+D237+D236</f>
        <v>29.82</v>
      </c>
      <c r="E244" s="325">
        <f t="shared" si="22"/>
        <v>25.7</v>
      </c>
      <c r="F244" s="325">
        <f t="shared" si="22"/>
        <v>117.87</v>
      </c>
      <c r="G244" s="325">
        <f t="shared" si="22"/>
        <v>837.93000000000006</v>
      </c>
      <c r="H244" s="260"/>
      <c r="I244" s="260"/>
      <c r="J244" s="260"/>
      <c r="K244" s="260"/>
      <c r="L244" s="260"/>
      <c r="M244" s="260"/>
      <c r="N244" s="260"/>
      <c r="O244" s="260"/>
      <c r="P244" s="260"/>
      <c r="Q244" s="260"/>
      <c r="R244" s="302"/>
      <c r="S244" s="304"/>
      <c r="T244" s="286"/>
      <c r="U244" s="286"/>
      <c r="V244" s="286"/>
      <c r="W244" s="297"/>
      <c r="X244" s="297"/>
      <c r="Y244" s="298"/>
      <c r="Z244" s="37"/>
      <c r="AA244" s="37"/>
      <c r="AB244" s="286"/>
      <c r="AC244" s="286"/>
      <c r="AD244" s="305"/>
      <c r="AE244" s="286"/>
      <c r="AF244" s="302"/>
    </row>
    <row r="245" spans="1:32" ht="15" hidden="1" customHeight="1" x14ac:dyDescent="0.25">
      <c r="A245" s="324"/>
      <c r="B245" s="337" t="s">
        <v>143</v>
      </c>
      <c r="C245" s="324"/>
      <c r="D245" s="325" t="e">
        <f>#REF!+D234</f>
        <v>#REF!</v>
      </c>
      <c r="E245" s="325" t="e">
        <f>#REF!+E234</f>
        <v>#REF!</v>
      </c>
      <c r="F245" s="325" t="e">
        <f>#REF!+F234</f>
        <v>#REF!</v>
      </c>
      <c r="G245" s="325" t="e">
        <f>#REF!+G234</f>
        <v>#REF!</v>
      </c>
      <c r="H245" s="260"/>
      <c r="I245" s="260"/>
      <c r="J245" s="260"/>
      <c r="K245" s="260"/>
      <c r="L245" s="260"/>
      <c r="M245" s="260"/>
      <c r="N245" s="260"/>
      <c r="O245" s="260"/>
      <c r="P245" s="260"/>
      <c r="Q245" s="260"/>
      <c r="R245" s="302"/>
      <c r="S245" s="306"/>
      <c r="T245" s="286"/>
      <c r="U245" s="286"/>
      <c r="V245" s="286"/>
      <c r="W245" s="286"/>
      <c r="X245" s="297"/>
      <c r="Y245" s="298"/>
      <c r="Z245" s="37"/>
      <c r="AA245" s="37"/>
      <c r="AB245" s="286"/>
      <c r="AC245" s="286"/>
      <c r="AD245" s="305"/>
      <c r="AE245" s="286"/>
      <c r="AF245" s="302"/>
    </row>
    <row r="246" spans="1:32" x14ac:dyDescent="0.25">
      <c r="A246" s="324"/>
      <c r="B246" s="337" t="s">
        <v>143</v>
      </c>
      <c r="C246" s="324"/>
      <c r="D246" s="325">
        <f>D244+D234</f>
        <v>54.58</v>
      </c>
      <c r="E246" s="325">
        <f t="shared" ref="E246:G246" si="23">E244+E234</f>
        <v>50.45</v>
      </c>
      <c r="F246" s="325">
        <f t="shared" si="23"/>
        <v>204.22</v>
      </c>
      <c r="G246" s="325">
        <f t="shared" si="23"/>
        <v>1560.6100000000001</v>
      </c>
    </row>
    <row r="247" spans="1:32" hidden="1" x14ac:dyDescent="0.25">
      <c r="A247" s="404"/>
      <c r="B247" s="405"/>
      <c r="C247" s="405"/>
      <c r="D247" s="405"/>
      <c r="E247" s="405"/>
      <c r="F247" s="405"/>
      <c r="G247" s="405"/>
    </row>
    <row r="248" spans="1:32" hidden="1" x14ac:dyDescent="0.25">
      <c r="A248" s="182"/>
      <c r="B248" s="389"/>
      <c r="C248" s="334"/>
      <c r="D248" s="335"/>
      <c r="E248" s="335"/>
      <c r="F248" s="335"/>
      <c r="G248" s="338"/>
    </row>
    <row r="249" spans="1:32" hidden="1" x14ac:dyDescent="0.25">
      <c r="A249" s="333"/>
      <c r="B249" s="336"/>
      <c r="C249" s="334"/>
      <c r="D249" s="335"/>
      <c r="E249" s="335"/>
      <c r="F249" s="335"/>
      <c r="G249" s="338"/>
    </row>
    <row r="250" spans="1:32" hidden="1" x14ac:dyDescent="0.25">
      <c r="A250" s="333"/>
      <c r="B250" s="227"/>
      <c r="C250" s="324"/>
      <c r="D250" s="322"/>
      <c r="E250" s="322"/>
      <c r="F250" s="322"/>
      <c r="G250" s="322"/>
    </row>
    <row r="251" spans="1:32" hidden="1" x14ac:dyDescent="0.25">
      <c r="A251" s="333"/>
      <c r="B251" s="336"/>
      <c r="C251" s="324"/>
      <c r="D251" s="322"/>
      <c r="E251" s="322"/>
      <c r="F251" s="322"/>
      <c r="G251" s="322"/>
    </row>
    <row r="252" spans="1:32" hidden="1" x14ac:dyDescent="0.25">
      <c r="A252" s="333"/>
      <c r="B252" s="336"/>
      <c r="C252" s="352"/>
      <c r="D252" s="353"/>
      <c r="E252" s="353"/>
      <c r="F252" s="353"/>
      <c r="G252" s="353"/>
    </row>
    <row r="253" spans="1:32" hidden="1" x14ac:dyDescent="0.25">
      <c r="A253" s="333"/>
      <c r="B253" s="227"/>
      <c r="C253" s="352"/>
      <c r="D253" s="353"/>
      <c r="E253" s="353"/>
      <c r="F253" s="353"/>
      <c r="G253" s="353"/>
    </row>
    <row r="254" spans="1:32" hidden="1" x14ac:dyDescent="0.25">
      <c r="A254" s="333"/>
      <c r="B254" s="227"/>
      <c r="C254" s="334"/>
      <c r="D254" s="335"/>
      <c r="E254" s="335"/>
      <c r="F254" s="335"/>
      <c r="G254" s="338"/>
    </row>
    <row r="255" spans="1:32" hidden="1" x14ac:dyDescent="0.25">
      <c r="A255" s="324"/>
      <c r="B255" s="337"/>
      <c r="C255" s="380"/>
      <c r="D255" s="325"/>
      <c r="E255" s="325"/>
      <c r="F255" s="325"/>
      <c r="G255" s="325"/>
    </row>
    <row r="256" spans="1:32" hidden="1" x14ac:dyDescent="0.25">
      <c r="A256" s="324"/>
      <c r="B256" s="389"/>
      <c r="C256" s="324"/>
      <c r="D256" s="325"/>
      <c r="E256" s="325"/>
      <c r="F256" s="325"/>
      <c r="G256" s="325"/>
    </row>
    <row r="257" spans="1:7" hidden="1" x14ac:dyDescent="0.25">
      <c r="A257" s="333"/>
      <c r="B257" s="336"/>
      <c r="C257" s="324"/>
      <c r="D257" s="322"/>
      <c r="E257" s="322"/>
      <c r="F257" s="322"/>
      <c r="G257" s="322"/>
    </row>
    <row r="258" spans="1:7" hidden="1" x14ac:dyDescent="0.25">
      <c r="A258" s="333"/>
      <c r="B258" s="227"/>
      <c r="C258" s="334"/>
      <c r="D258" s="353"/>
      <c r="E258" s="353"/>
      <c r="F258" s="353"/>
      <c r="G258" s="360"/>
    </row>
    <row r="259" spans="1:7" hidden="1" x14ac:dyDescent="0.25">
      <c r="A259" s="333"/>
      <c r="B259" s="227"/>
      <c r="C259" s="324"/>
      <c r="D259" s="322"/>
      <c r="E259" s="322"/>
      <c r="F259" s="322"/>
      <c r="G259" s="322"/>
    </row>
    <row r="260" spans="1:7" hidden="1" x14ac:dyDescent="0.25">
      <c r="A260" s="333"/>
      <c r="B260" s="336"/>
      <c r="C260" s="324"/>
      <c r="D260" s="322"/>
      <c r="E260" s="322"/>
      <c r="F260" s="322"/>
      <c r="G260" s="322"/>
    </row>
    <row r="261" spans="1:7" hidden="1" x14ac:dyDescent="0.25">
      <c r="A261" s="333"/>
      <c r="B261" s="336"/>
      <c r="C261" s="352"/>
      <c r="D261" s="353"/>
      <c r="E261" s="353"/>
      <c r="F261" s="353"/>
      <c r="G261" s="353"/>
    </row>
    <row r="262" spans="1:7" hidden="1" x14ac:dyDescent="0.25">
      <c r="A262" s="333"/>
      <c r="B262" s="227"/>
      <c r="C262" s="352"/>
      <c r="D262" s="353"/>
      <c r="E262" s="353"/>
      <c r="F262" s="353"/>
      <c r="G262" s="353"/>
    </row>
    <row r="263" spans="1:7" hidden="1" x14ac:dyDescent="0.25">
      <c r="A263" s="333"/>
      <c r="B263" s="336"/>
      <c r="C263" s="334"/>
      <c r="D263" s="335"/>
      <c r="E263" s="335"/>
      <c r="F263" s="335"/>
      <c r="G263" s="338"/>
    </row>
    <row r="264" spans="1:7" hidden="1" x14ac:dyDescent="0.25">
      <c r="A264" s="333"/>
      <c r="B264" s="337"/>
      <c r="C264" s="325"/>
      <c r="D264" s="325"/>
      <c r="E264" s="325"/>
      <c r="F264" s="325"/>
      <c r="G264" s="325"/>
    </row>
    <row r="265" spans="1:7" hidden="1" x14ac:dyDescent="0.25">
      <c r="A265" s="324"/>
      <c r="B265" s="337"/>
      <c r="C265" s="324"/>
      <c r="D265" s="325"/>
      <c r="E265" s="325"/>
      <c r="F265" s="325"/>
      <c r="G265" s="325"/>
    </row>
    <row r="266" spans="1:7" hidden="1" x14ac:dyDescent="0.25">
      <c r="A266" s="324"/>
      <c r="B266" s="337"/>
      <c r="C266" s="324"/>
      <c r="D266" s="325"/>
      <c r="E266" s="325"/>
      <c r="F266" s="325"/>
      <c r="G266" s="325"/>
    </row>
    <row r="267" spans="1:7" hidden="1" x14ac:dyDescent="0.25"/>
  </sheetData>
  <mergeCells count="19">
    <mergeCell ref="L2:P2"/>
    <mergeCell ref="A5:G5"/>
    <mergeCell ref="A2:A3"/>
    <mergeCell ref="B2:B3"/>
    <mergeCell ref="C2:C3"/>
    <mergeCell ref="D2:F2"/>
    <mergeCell ref="G2:G3"/>
    <mergeCell ref="A183:G183"/>
    <mergeCell ref="A204:G204"/>
    <mergeCell ref="B121:H121"/>
    <mergeCell ref="A247:G247"/>
    <mergeCell ref="H2:K2"/>
    <mergeCell ref="A225:G225"/>
    <mergeCell ref="A30:G30"/>
    <mergeCell ref="A52:G52"/>
    <mergeCell ref="A99:G99"/>
    <mergeCell ref="A78:G78"/>
    <mergeCell ref="A141:G141"/>
    <mergeCell ref="A162:G162"/>
  </mergeCells>
  <pageMargins left="0.25" right="0.25"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2">
        <x14:dataValidation type="list" allowBlank="1" showInputMessage="1" showErrorMessage="1">
          <x14:formula1>
            <xm:f>выпечка!$A$5:$A$52</xm:f>
          </x14:formula1>
          <xm:sqref>B24:B25 B36 B47:B48 B62 B105 B94:B95 B116:B117 B147 B177:B178 B167 B157:B158 B189:B190 B241:B242 B209 B199:B200 B230 B220:B221 B82 B73:B74 B126 B261:B262 B252 B135:B136</xm:sqref>
        </x14:dataValidation>
        <x14:dataValidation type="list" allowBlank="1" showInputMessage="1" showErrorMessage="1">
          <x14:formula1>
            <xm:f>супы!$A$4:$A$28</xm:f>
          </x14:formula1>
          <xm:sqref>B44 B20 B89 B112 B68 B154 B196 B173 B237 B258 B132</xm:sqref>
        </x14:dataValidation>
        <x14:dataValidation type="list" allowBlank="1" showInputMessage="1" showErrorMessage="1">
          <x14:formula1>
            <xm:f>напитки!$A$4:$A$34</xm:f>
          </x14:formula1>
          <xm:sqref>B39:B40 B13 B137 B107 B233 B169 B64 B263 B211:B212 B49 B26 B75 B96 B118 B254 B179:B180 B201 B222 B243 B128</xm:sqref>
        </x14:dataValidation>
        <x14:dataValidation type="list" allowBlank="1" showInputMessage="1" showErrorMessage="1">
          <x14:formula1>
            <xm:f>выпечка!$A$4:$A$52</xm:f>
          </x14:formula1>
          <xm:sqref>B37 B63 B231 B148 B168 B191 B83 B106 B253 B127 B210</xm:sqref>
        </x14:dataValidation>
        <x14:dataValidation type="list" allowBlank="1" showInputMessage="1" showErrorMessage="1">
          <x14:formula1>
            <xm:f>мясо!$A$4:$A$54</xm:f>
          </x14:formula1>
          <xm:sqref>B239:B240 B217:B218 B46 B102 B115 B34:B35 B81 B166 B22:B23 B175:B176 B198 B72 B251 B91 B134 B124 B260</xm:sqref>
        </x14:dataValidation>
        <x14:dataValidation type="list" allowBlank="1" showInputMessage="1" showErrorMessage="1">
          <x14:formula1>
            <xm:f>салаты!$A$4:$A$82</xm:f>
          </x14:formula1>
          <xm:sqref>B19 B123 B185:B186 B131 B195 B172 B164 B153 B111 B149 B88 B55 B67 B144 B32 B101 B59 B257 B80 B249</xm:sqref>
        </x14:dataValidation>
        <x14:dataValidation type="list" allowBlank="1" showInputMessage="1" showErrorMessage="1">
          <x14:formula1>
            <xm:f>нормы!$B$3:$B$4</xm:f>
          </x14:formula1>
          <xm:sqref>S9 S35 S57:S58 S75:S76 S159:S160 S201:S202 S243:S244 S120:S140</xm:sqref>
        </x14:dataValidation>
        <x14:dataValidation type="list" allowBlank="1" showInputMessage="1" showErrorMessage="1">
          <x14:formula1>
            <xm:f>каши!$A$4:$A$40</xm:f>
          </x14:formula1>
          <xm:sqref>B219 B228 B90 B103 B238 B165 B146 B174 B156 B207 B188 B33 B21 B197 B133 B69 B113:B114 B93 B45 B125 B250 B259 B56:B57</xm:sqref>
        </x14:dataValidation>
        <x14:dataValidation type="list" allowBlank="1" showInputMessage="1" showErrorMessage="1">
          <x14:formula1>
            <xm:f>нормы!$A$5:$A$8</xm:f>
          </x14:formula1>
          <xm:sqref>S10</xm:sqref>
        </x14:dataValidation>
        <x14:dataValidation type="list" allowBlank="1" showInputMessage="1" showErrorMessage="1">
          <x14:formula1>
            <xm:f>мясо!$A$4:$A$240</xm:f>
          </x14:formula1>
          <xm:sqref>B155</xm:sqref>
        </x14:dataValidation>
        <x14:dataValidation type="list" allowBlank="1" showInputMessage="1" showErrorMessage="1">
          <x14:formula1>
            <xm:f>[6]выпечка!#REF!</xm:f>
          </x14:formula1>
          <xm:sqref>B14:B15</xm:sqref>
        </x14:dataValidation>
        <x14:dataValidation type="list" allowBlank="1" showInputMessage="1" showErrorMessage="1">
          <x14:formula1>
            <xm:f>[6]напитки!#REF!</xm:f>
          </x14:formula1>
          <xm:sqref>B17</xm:sqref>
        </x14:dataValidation>
        <x14:dataValidation type="list" allowBlank="1" showInputMessage="1" showErrorMessage="1">
          <x14:formula1>
            <xm:f>салаты!$A$5:$A$83</xm:f>
          </x14:formula1>
          <xm:sqref>B60 B54 B187 B7:B10 B143 B84</xm:sqref>
        </x14:dataValidation>
        <x14:dataValidation type="list" allowBlank="1" showInputMessage="1" showErrorMessage="1">
          <x14:formula1>
            <xm:f>каши!$A$5:$A$40</xm:f>
          </x14:formula1>
          <xm:sqref>B11</xm:sqref>
        </x14:dataValidation>
        <x14:dataValidation type="list" allowBlank="1" showInputMessage="1" showErrorMessage="1">
          <x14:formula1>
            <xm:f>[7]Выпека!#REF!</xm:f>
          </x14:formula1>
          <xm:sqref>B104</xm:sqref>
        </x14:dataValidation>
        <x14:dataValidation type="list" allowBlank="1" showInputMessage="1" showErrorMessage="1">
          <x14:formula1>
            <xm:f>[8]супы!#REF!</xm:f>
          </x14:formula1>
          <xm:sqref>B216</xm:sqref>
        </x14:dataValidation>
        <x14:dataValidation type="list" allowBlank="1" showInputMessage="1" showErrorMessage="1">
          <x14:formula1>
            <xm:f>выпечка!$A$5:$A$53</xm:f>
          </x14:formula1>
          <xm:sqref>B12</xm:sqref>
        </x14:dataValidation>
        <x14:dataValidation type="list" allowBlank="1" showInputMessage="1" showErrorMessage="1">
          <x14:formula1>
            <xm:f>[9]каши!#REF!</xm:f>
          </x14:formula1>
          <xm:sqref>B70</xm:sqref>
        </x14:dataValidation>
        <x14:dataValidation type="list" allowBlank="1" showInputMessage="1" showErrorMessage="1">
          <x14:formula1>
            <xm:f>[9]салаты!#REF!</xm:f>
          </x14:formula1>
          <xm:sqref>B206</xm:sqref>
        </x14:dataValidation>
        <x14:dataValidation type="list" allowBlank="1" showInputMessage="1" showErrorMessage="1">
          <x14:formula1>
            <xm:f>[10]Напитки!#REF!</xm:f>
          </x14:formula1>
          <xm:sqref>B38 B108 B85</xm:sqref>
        </x14:dataValidation>
        <x14:dataValidation type="list" allowBlank="1" showInputMessage="1" showErrorMessage="1">
          <x14:formula1>
            <xm:f>[10]Выпека!#REF!</xm:f>
          </x14:formula1>
          <xm:sqref>B61</xm:sqref>
        </x14:dataValidation>
        <x14:dataValidation type="list" allowBlank="1" showInputMessage="1" showErrorMessage="1">
          <x14:formula1>
            <xm:f>[10]Cалаты!#REF!</xm:f>
          </x14:formula1>
          <xm:sqref>B58</xm:sqref>
        </x14:dataValidation>
        <x14:dataValidation type="list" allowBlank="1" showInputMessage="1" showErrorMessage="1">
          <x14:formula1>
            <xm:f>[11]салаты!#REF!</xm:f>
          </x14:formula1>
          <xm:sqref>B227</xm:sqref>
        </x14:dataValidation>
        <x14:dataValidation type="list" allowBlank="1" showInputMessage="1" showErrorMessage="1">
          <x14:formula1>
            <xm:f>[9]салаты!#REF!</xm:f>
          </x14:formula1>
          <xm:sqref>B232</xm:sqref>
        </x14:dataValidation>
        <x14:dataValidation type="list" allowBlank="1" showInputMessage="1" showErrorMessage="1">
          <x14:formula1>
            <xm:f>[10]Напитки!#REF!</xm:f>
          </x14:formula1>
          <xm:sqref>B150</xm:sqref>
        </x14:dataValidation>
        <x14:dataValidation type="list" allowBlank="1" showInputMessage="1" showErrorMessage="1">
          <x14:formula1>
            <xm:f>[9]салаты!#REF!</xm:f>
          </x14:formula1>
          <xm:sqref>B43 B215</xm:sqref>
        </x14:dataValidation>
        <x14:dataValidation type="list" allowBlank="1" showInputMessage="1" showErrorMessage="1">
          <x14:formula1>
            <xm:f>[12]напитки!#REF!</xm:f>
          </x14:formula1>
          <xm:sqref>B159</xm:sqref>
        </x14:dataValidation>
        <x14:dataValidation type="list" allowBlank="1" showInputMessage="1" showErrorMessage="1">
          <x14:formula1>
            <xm:f>[9]напитки!#REF!</xm:f>
          </x14:formula1>
          <xm:sqref>B192</xm:sqref>
        </x14:dataValidation>
        <x14:dataValidation type="list" allowBlank="1" showInputMessage="1" showErrorMessage="1">
          <x14:formula1>
            <xm:f>[13]мясо!#REF!</xm:f>
          </x14:formula1>
          <xm:sqref>B71 B208 B229</xm:sqref>
        </x14:dataValidation>
        <x14:dataValidation type="list" allowBlank="1" showInputMessage="1" showErrorMessage="1">
          <x14:formula1>
            <xm:f>[13]салаты!#REF!</xm:f>
          </x14:formula1>
          <xm:sqref>B236</xm:sqref>
        </x14:dataValidation>
        <x14:dataValidation type="list" allowBlank="1" showInputMessage="1" showErrorMessage="1">
          <x14:formula1>
            <xm:f>[10]Мясо!#REF!</xm:f>
          </x14:formula1>
          <xm:sqref>B92</xm:sqref>
        </x14:dataValidation>
        <x14:dataValidation type="list" allowBlank="1" showInputMessage="1" showErrorMessage="1">
          <x14:formula1>
            <xm:f>[10]Выпека!#REF!</xm:f>
          </x14:formula1>
          <xm:sqref>B145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opLeftCell="C4" zoomScale="80" zoomScaleNormal="80" workbookViewId="0">
      <selection activeCell="M18" sqref="M18"/>
    </sheetView>
  </sheetViews>
  <sheetFormatPr defaultRowHeight="12.75" x14ac:dyDescent="0.25"/>
  <cols>
    <col min="1" max="1" width="3.7109375" style="223" customWidth="1"/>
    <col min="2" max="2" width="20.7109375" style="224" customWidth="1"/>
    <col min="3" max="17" width="7.28515625" style="223" customWidth="1"/>
    <col min="18" max="16384" width="9.140625" style="217"/>
  </cols>
  <sheetData>
    <row r="1" spans="1:17" ht="24.95" customHeight="1" x14ac:dyDescent="0.25">
      <c r="A1" s="414" t="s">
        <v>968</v>
      </c>
      <c r="B1" s="414"/>
      <c r="C1" s="414"/>
      <c r="D1" s="414"/>
      <c r="E1" s="414"/>
      <c r="F1" s="414"/>
      <c r="G1" s="414"/>
      <c r="H1" s="414"/>
      <c r="I1" s="414"/>
      <c r="J1" s="414"/>
      <c r="K1" s="414"/>
      <c r="L1" s="414"/>
      <c r="M1" s="414"/>
      <c r="N1" s="414"/>
      <c r="O1" s="414"/>
      <c r="P1" s="414"/>
      <c r="Q1" s="414"/>
    </row>
    <row r="2" spans="1:17" s="223" customFormat="1" ht="24.95" customHeight="1" x14ac:dyDescent="0.25">
      <c r="A2" s="415" t="s">
        <v>1150</v>
      </c>
      <c r="B2" s="415"/>
      <c r="C2" s="415"/>
      <c r="D2" s="415"/>
      <c r="E2" s="415"/>
      <c r="F2" s="415"/>
      <c r="G2" s="415"/>
      <c r="H2" s="415"/>
      <c r="I2" s="415"/>
      <c r="J2" s="415"/>
      <c r="K2" s="415"/>
      <c r="L2" s="415"/>
      <c r="M2" s="415"/>
      <c r="N2" s="415"/>
      <c r="O2" s="415"/>
      <c r="P2" s="415"/>
      <c r="Q2" s="415"/>
    </row>
    <row r="3" spans="1:17" ht="24.95" customHeight="1" x14ac:dyDescent="0.25">
      <c r="A3" s="410" t="s">
        <v>891</v>
      </c>
      <c r="B3" s="410" t="s">
        <v>967</v>
      </c>
      <c r="C3" s="410" t="s">
        <v>969</v>
      </c>
      <c r="D3" s="412" t="s">
        <v>892</v>
      </c>
      <c r="E3" s="412"/>
      <c r="F3" s="412"/>
      <c r="G3" s="412"/>
      <c r="H3" s="412"/>
      <c r="I3" s="412"/>
      <c r="J3" s="412"/>
      <c r="K3" s="412"/>
      <c r="L3" s="412"/>
      <c r="M3" s="412"/>
      <c r="N3" s="412"/>
      <c r="O3" s="412"/>
      <c r="P3" s="410" t="s">
        <v>1148</v>
      </c>
      <c r="Q3" s="413" t="s">
        <v>893</v>
      </c>
    </row>
    <row r="4" spans="1:17" ht="24.95" customHeight="1" x14ac:dyDescent="0.25">
      <c r="A4" s="410"/>
      <c r="B4" s="410"/>
      <c r="C4" s="410"/>
      <c r="D4" s="222">
        <v>1</v>
      </c>
      <c r="E4" s="222">
        <v>2</v>
      </c>
      <c r="F4" s="222">
        <v>3</v>
      </c>
      <c r="G4" s="222">
        <v>4</v>
      </c>
      <c r="H4" s="222">
        <v>5</v>
      </c>
      <c r="I4" s="222"/>
      <c r="J4" s="222">
        <v>7</v>
      </c>
      <c r="K4" s="222">
        <v>8</v>
      </c>
      <c r="L4" s="222">
        <v>9</v>
      </c>
      <c r="M4" s="222">
        <v>10</v>
      </c>
      <c r="N4" s="222">
        <v>11</v>
      </c>
      <c r="O4" s="222">
        <v>12</v>
      </c>
      <c r="P4" s="410"/>
      <c r="Q4" s="413"/>
    </row>
    <row r="5" spans="1:17" ht="15" customHeight="1" x14ac:dyDescent="0.25">
      <c r="A5" s="106">
        <v>1</v>
      </c>
      <c r="B5" s="107" t="s">
        <v>952</v>
      </c>
      <c r="C5" s="106">
        <v>40</v>
      </c>
      <c r="D5" s="106">
        <v>40</v>
      </c>
      <c r="E5" s="106">
        <v>40</v>
      </c>
      <c r="F5" s="106">
        <v>40</v>
      </c>
      <c r="G5" s="106">
        <v>40</v>
      </c>
      <c r="H5" s="106">
        <v>40</v>
      </c>
      <c r="I5" s="106"/>
      <c r="J5" s="106">
        <v>40</v>
      </c>
      <c r="K5" s="106">
        <v>40</v>
      </c>
      <c r="L5" s="106">
        <v>40</v>
      </c>
      <c r="M5" s="106">
        <v>40</v>
      </c>
      <c r="N5" s="106">
        <v>40</v>
      </c>
      <c r="O5" s="106"/>
      <c r="P5" s="41">
        <f t="shared" ref="P5:P13" si="0">(D5+E5+F5+G5+H5+I5+J5+K5+L5+M5+N5+O5)/10</f>
        <v>40</v>
      </c>
      <c r="Q5" s="41">
        <f t="shared" ref="Q5:Q13" si="1">P5*100/C5</f>
        <v>100</v>
      </c>
    </row>
    <row r="6" spans="1:17" ht="15" customHeight="1" x14ac:dyDescent="0.25">
      <c r="A6" s="106">
        <v>2</v>
      </c>
      <c r="B6" s="107" t="s">
        <v>413</v>
      </c>
      <c r="C6" s="106">
        <v>80</v>
      </c>
      <c r="D6" s="106">
        <v>80</v>
      </c>
      <c r="E6" s="106">
        <v>88</v>
      </c>
      <c r="F6" s="106">
        <v>80</v>
      </c>
      <c r="G6" s="106">
        <v>97</v>
      </c>
      <c r="H6" s="106">
        <v>93</v>
      </c>
      <c r="I6" s="106"/>
      <c r="J6" s="106">
        <v>80</v>
      </c>
      <c r="K6" s="106">
        <v>91</v>
      </c>
      <c r="L6" s="106">
        <v>80</v>
      </c>
      <c r="M6" s="106">
        <v>80</v>
      </c>
      <c r="N6" s="106">
        <v>91</v>
      </c>
      <c r="O6" s="106"/>
      <c r="P6" s="41">
        <f t="shared" si="0"/>
        <v>86</v>
      </c>
      <c r="Q6" s="41">
        <f t="shared" si="1"/>
        <v>107.5</v>
      </c>
    </row>
    <row r="7" spans="1:17" ht="15" customHeight="1" x14ac:dyDescent="0.25">
      <c r="A7" s="106">
        <v>3</v>
      </c>
      <c r="B7" s="107" t="s">
        <v>410</v>
      </c>
      <c r="C7" s="106">
        <v>9</v>
      </c>
      <c r="D7" s="106">
        <v>5</v>
      </c>
      <c r="E7" s="106"/>
      <c r="F7" s="106">
        <v>12</v>
      </c>
      <c r="G7" s="106">
        <v>20</v>
      </c>
      <c r="H7" s="106"/>
      <c r="I7" s="106"/>
      <c r="J7" s="106">
        <v>6</v>
      </c>
      <c r="K7" s="106">
        <v>2</v>
      </c>
      <c r="L7" s="106">
        <v>12</v>
      </c>
      <c r="M7" s="106">
        <v>20</v>
      </c>
      <c r="N7" s="106">
        <v>13</v>
      </c>
      <c r="O7" s="106"/>
      <c r="P7" s="41">
        <f t="shared" si="0"/>
        <v>9</v>
      </c>
      <c r="Q7" s="41">
        <f t="shared" si="1"/>
        <v>100</v>
      </c>
    </row>
    <row r="8" spans="1:17" ht="15" customHeight="1" x14ac:dyDescent="0.25">
      <c r="A8" s="106">
        <v>4</v>
      </c>
      <c r="B8" s="107" t="s">
        <v>953</v>
      </c>
      <c r="C8" s="106">
        <v>27</v>
      </c>
      <c r="D8" s="106">
        <v>33</v>
      </c>
      <c r="E8" s="106">
        <v>139</v>
      </c>
      <c r="F8" s="106">
        <v>47</v>
      </c>
      <c r="G8" s="106">
        <v>45</v>
      </c>
      <c r="H8" s="106">
        <v>20</v>
      </c>
      <c r="I8" s="106"/>
      <c r="J8" s="106">
        <v>50</v>
      </c>
      <c r="K8" s="106">
        <v>50</v>
      </c>
      <c r="L8" s="106">
        <v>32</v>
      </c>
      <c r="M8" s="106">
        <v>54</v>
      </c>
      <c r="N8" s="106">
        <v>70</v>
      </c>
      <c r="O8" s="106"/>
      <c r="P8" s="41">
        <f t="shared" si="0"/>
        <v>54</v>
      </c>
      <c r="Q8" s="41">
        <f t="shared" si="1"/>
        <v>200</v>
      </c>
    </row>
    <row r="9" spans="1:17" ht="15" customHeight="1" x14ac:dyDescent="0.25">
      <c r="A9" s="106">
        <v>5</v>
      </c>
      <c r="B9" s="107" t="s">
        <v>954</v>
      </c>
      <c r="C9" s="106">
        <v>9</v>
      </c>
      <c r="D9" s="106">
        <v>51</v>
      </c>
      <c r="E9" s="106"/>
      <c r="F9" s="106"/>
      <c r="G9" s="106"/>
      <c r="H9" s="106"/>
      <c r="I9" s="106"/>
      <c r="J9" s="106"/>
      <c r="K9" s="106"/>
      <c r="L9" s="106">
        <v>51</v>
      </c>
      <c r="M9" s="106"/>
      <c r="N9" s="106"/>
      <c r="O9" s="106"/>
      <c r="P9" s="41">
        <f t="shared" si="0"/>
        <v>10.199999999999999</v>
      </c>
      <c r="Q9" s="41">
        <f t="shared" si="1"/>
        <v>113.33333333333331</v>
      </c>
    </row>
    <row r="10" spans="1:17" ht="15" customHeight="1" x14ac:dyDescent="0.25">
      <c r="A10" s="106">
        <v>6</v>
      </c>
      <c r="B10" s="107" t="s">
        <v>249</v>
      </c>
      <c r="C10" s="106">
        <v>112</v>
      </c>
      <c r="D10" s="106">
        <v>30</v>
      </c>
      <c r="E10" s="106">
        <v>75</v>
      </c>
      <c r="F10" s="106">
        <v>166</v>
      </c>
      <c r="G10" s="106">
        <v>170</v>
      </c>
      <c r="H10" s="106">
        <v>176</v>
      </c>
      <c r="I10" s="106"/>
      <c r="J10" s="106">
        <v>20</v>
      </c>
      <c r="K10" s="106">
        <v>201</v>
      </c>
      <c r="L10" s="106">
        <v>75</v>
      </c>
      <c r="M10" s="106">
        <v>146</v>
      </c>
      <c r="N10" s="106">
        <v>164</v>
      </c>
      <c r="O10" s="106"/>
      <c r="P10" s="41">
        <f t="shared" si="0"/>
        <v>122.3</v>
      </c>
      <c r="Q10" s="41">
        <f t="shared" si="1"/>
        <v>109.19642857142857</v>
      </c>
    </row>
    <row r="11" spans="1:17" ht="69.95" customHeight="1" x14ac:dyDescent="0.25">
      <c r="A11" s="106">
        <v>7</v>
      </c>
      <c r="B11" s="227" t="s">
        <v>955</v>
      </c>
      <c r="C11" s="106">
        <v>168</v>
      </c>
      <c r="D11" s="106">
        <v>176</v>
      </c>
      <c r="E11" s="106">
        <v>137</v>
      </c>
      <c r="F11" s="106">
        <v>160</v>
      </c>
      <c r="G11" s="106">
        <v>226</v>
      </c>
      <c r="H11" s="106">
        <v>220</v>
      </c>
      <c r="I11" s="106"/>
      <c r="J11" s="106">
        <v>170</v>
      </c>
      <c r="K11" s="106">
        <v>135</v>
      </c>
      <c r="L11" s="106">
        <v>160</v>
      </c>
      <c r="M11" s="106">
        <v>300</v>
      </c>
      <c r="N11" s="106"/>
      <c r="O11" s="106"/>
      <c r="P11" s="41">
        <f t="shared" si="0"/>
        <v>168.4</v>
      </c>
      <c r="Q11" s="41">
        <f t="shared" si="1"/>
        <v>100.23809523809524</v>
      </c>
    </row>
    <row r="12" spans="1:17" ht="15" customHeight="1" x14ac:dyDescent="0.25">
      <c r="A12" s="106">
        <v>8</v>
      </c>
      <c r="B12" s="107" t="s">
        <v>1149</v>
      </c>
      <c r="C12" s="106">
        <v>111</v>
      </c>
      <c r="D12" s="106">
        <v>100</v>
      </c>
      <c r="E12" s="106">
        <v>200</v>
      </c>
      <c r="F12" s="106">
        <v>100</v>
      </c>
      <c r="G12" s="106"/>
      <c r="H12" s="106">
        <v>200</v>
      </c>
      <c r="I12" s="106"/>
      <c r="J12" s="106">
        <v>100</v>
      </c>
      <c r="K12" s="106"/>
      <c r="L12" s="106">
        <v>100</v>
      </c>
      <c r="M12" s="106"/>
      <c r="N12" s="106">
        <v>200</v>
      </c>
      <c r="O12" s="106"/>
      <c r="P12" s="41">
        <f t="shared" si="0"/>
        <v>100</v>
      </c>
      <c r="Q12" s="41">
        <f t="shared" si="1"/>
        <v>90.090090090090087</v>
      </c>
    </row>
    <row r="13" spans="1:17" ht="15" customHeight="1" x14ac:dyDescent="0.25">
      <c r="A13" s="106">
        <v>9</v>
      </c>
      <c r="B13" s="107" t="s">
        <v>956</v>
      </c>
      <c r="C13" s="106">
        <v>9</v>
      </c>
      <c r="D13" s="106"/>
      <c r="E13" s="106">
        <v>20</v>
      </c>
      <c r="F13" s="106">
        <v>20</v>
      </c>
      <c r="G13" s="106">
        <v>20</v>
      </c>
      <c r="H13" s="106"/>
      <c r="I13" s="106"/>
      <c r="J13" s="106"/>
      <c r="K13" s="106">
        <v>20</v>
      </c>
      <c r="L13" s="106">
        <v>20</v>
      </c>
      <c r="M13" s="106"/>
      <c r="N13" s="106"/>
      <c r="O13" s="106"/>
      <c r="P13" s="41">
        <f t="shared" si="0"/>
        <v>10</v>
      </c>
      <c r="Q13" s="41">
        <f t="shared" si="1"/>
        <v>111.11111111111111</v>
      </c>
    </row>
    <row r="14" spans="1:17" ht="50.1" hidden="1" customHeight="1" x14ac:dyDescent="0.25">
      <c r="A14" s="106"/>
      <c r="B14" s="227"/>
      <c r="C14" s="106"/>
      <c r="D14" s="106"/>
      <c r="E14" s="106"/>
      <c r="F14" s="106"/>
      <c r="G14" s="106"/>
      <c r="H14" s="106"/>
      <c r="I14" s="106"/>
      <c r="J14" s="106"/>
      <c r="K14" s="106"/>
      <c r="L14" s="106"/>
      <c r="M14" s="106"/>
      <c r="N14" s="106"/>
      <c r="O14" s="106"/>
      <c r="P14" s="41"/>
      <c r="Q14" s="41"/>
    </row>
    <row r="15" spans="1:17" ht="15" customHeight="1" x14ac:dyDescent="0.25">
      <c r="A15" s="106">
        <v>10</v>
      </c>
      <c r="B15" s="107" t="s">
        <v>957</v>
      </c>
      <c r="C15" s="106">
        <v>42</v>
      </c>
      <c r="D15" s="106">
        <v>37</v>
      </c>
      <c r="E15" s="106"/>
      <c r="F15" s="106"/>
      <c r="G15" s="106">
        <v>87</v>
      </c>
      <c r="H15" s="106">
        <v>50</v>
      </c>
      <c r="I15" s="106"/>
      <c r="J15" s="106">
        <v>50</v>
      </c>
      <c r="K15" s="106"/>
      <c r="L15" s="106">
        <v>50</v>
      </c>
      <c r="M15" s="106">
        <v>50</v>
      </c>
      <c r="N15" s="106">
        <v>50</v>
      </c>
      <c r="O15" s="106"/>
      <c r="P15" s="41">
        <f>(D15+E15+F15+G15+H15+I15+J15+K15+L15+M15+N15+O15)/10</f>
        <v>37.4</v>
      </c>
      <c r="Q15" s="41">
        <f>P15*100/C15</f>
        <v>89.047619047619051</v>
      </c>
    </row>
    <row r="16" spans="1:17" ht="30" hidden="1" customHeight="1" x14ac:dyDescent="0.25">
      <c r="A16" s="106"/>
      <c r="B16" s="225"/>
      <c r="C16" s="106"/>
      <c r="D16" s="106"/>
      <c r="E16" s="106"/>
      <c r="F16" s="106"/>
      <c r="G16" s="106"/>
      <c r="H16" s="106"/>
      <c r="I16" s="106"/>
      <c r="J16" s="106"/>
      <c r="K16" s="106"/>
      <c r="L16" s="106"/>
      <c r="M16" s="106"/>
      <c r="N16" s="106"/>
      <c r="O16" s="106"/>
      <c r="P16" s="41"/>
      <c r="Q16" s="41"/>
    </row>
    <row r="17" spans="1:17" ht="39.950000000000003" customHeight="1" x14ac:dyDescent="0.25">
      <c r="A17" s="106">
        <v>11</v>
      </c>
      <c r="B17" s="225" t="s">
        <v>958</v>
      </c>
      <c r="C17" s="106">
        <v>21</v>
      </c>
      <c r="D17" s="106">
        <v>50</v>
      </c>
      <c r="E17" s="106"/>
      <c r="F17" s="106">
        <v>50</v>
      </c>
      <c r="G17" s="106"/>
      <c r="H17" s="106"/>
      <c r="I17" s="106"/>
      <c r="J17" s="106"/>
      <c r="K17" s="106">
        <v>50</v>
      </c>
      <c r="L17" s="106">
        <v>50</v>
      </c>
      <c r="M17" s="106"/>
      <c r="N17" s="106"/>
      <c r="O17" s="106"/>
      <c r="P17" s="41">
        <f>(D17+E17+F17+G17+H17+I17+J17+K17+L17+M17+N17+O17)/10</f>
        <v>20</v>
      </c>
      <c r="Q17" s="41">
        <f>P17*100/C17</f>
        <v>95.238095238095241</v>
      </c>
    </row>
    <row r="18" spans="1:17" ht="30" customHeight="1" x14ac:dyDescent="0.25">
      <c r="A18" s="106">
        <v>12</v>
      </c>
      <c r="B18" s="225" t="s">
        <v>959</v>
      </c>
      <c r="C18" s="106">
        <v>26</v>
      </c>
      <c r="D18" s="106"/>
      <c r="E18" s="106">
        <v>60</v>
      </c>
      <c r="F18" s="106"/>
      <c r="G18" s="106"/>
      <c r="H18" s="106">
        <v>60</v>
      </c>
      <c r="I18" s="106"/>
      <c r="J18" s="106"/>
      <c r="K18" s="106">
        <v>60</v>
      </c>
      <c r="L18" s="106"/>
      <c r="M18" s="106">
        <v>60</v>
      </c>
      <c r="N18" s="106"/>
      <c r="O18" s="106"/>
      <c r="P18" s="41">
        <f>(D18+E18+F18+G18+H18+I18+J18+K18+L18+M18+N18+O18)/10</f>
        <v>24</v>
      </c>
      <c r="Q18" s="41">
        <f>P18*100/C18</f>
        <v>92.307692307692307</v>
      </c>
    </row>
    <row r="19" spans="1:17" ht="15" customHeight="1" x14ac:dyDescent="0.25">
      <c r="A19" s="106">
        <v>13</v>
      </c>
      <c r="B19" s="226" t="s">
        <v>583</v>
      </c>
      <c r="C19" s="106">
        <v>180</v>
      </c>
      <c r="D19" s="106">
        <v>245</v>
      </c>
      <c r="E19" s="106">
        <v>100</v>
      </c>
      <c r="F19" s="106">
        <v>100</v>
      </c>
      <c r="G19" s="106">
        <v>20</v>
      </c>
      <c r="H19" s="106">
        <v>24</v>
      </c>
      <c r="I19" s="106"/>
      <c r="J19" s="106">
        <v>295</v>
      </c>
      <c r="K19" s="106">
        <v>24</v>
      </c>
      <c r="L19" s="106">
        <v>200</v>
      </c>
      <c r="M19" s="106">
        <v>84</v>
      </c>
      <c r="N19" s="106">
        <v>20</v>
      </c>
      <c r="O19" s="106"/>
      <c r="P19" s="41">
        <f>(D19+E19+F19+G19+H19+I19+J19+K19+L19+M19+N19+O19)/10</f>
        <v>111.2</v>
      </c>
      <c r="Q19" s="41">
        <f>P19*100/C19</f>
        <v>61.777777777777779</v>
      </c>
    </row>
    <row r="20" spans="1:17" ht="30" hidden="1" customHeight="1" x14ac:dyDescent="0.25">
      <c r="A20" s="106"/>
      <c r="B20" s="225"/>
      <c r="C20" s="106"/>
      <c r="D20" s="106"/>
      <c r="E20" s="106"/>
      <c r="F20" s="106"/>
      <c r="G20" s="106"/>
      <c r="H20" s="106"/>
      <c r="I20" s="106"/>
      <c r="J20" s="106"/>
      <c r="K20" s="106"/>
      <c r="L20" s="106"/>
      <c r="M20" s="106"/>
      <c r="N20" s="106"/>
      <c r="O20" s="106"/>
      <c r="P20" s="41"/>
      <c r="Q20" s="41"/>
    </row>
    <row r="21" spans="1:17" ht="15" hidden="1" customHeight="1" x14ac:dyDescent="0.25">
      <c r="A21" s="106">
        <v>17</v>
      </c>
      <c r="B21" s="107" t="s">
        <v>960</v>
      </c>
      <c r="C21" s="106">
        <v>30</v>
      </c>
      <c r="D21" s="106"/>
      <c r="E21" s="106"/>
      <c r="F21" s="106"/>
      <c r="G21" s="106"/>
      <c r="H21" s="106"/>
      <c r="I21" s="106"/>
      <c r="J21" s="106"/>
      <c r="K21" s="106"/>
      <c r="L21" s="106"/>
      <c r="M21" s="106"/>
      <c r="N21" s="106"/>
      <c r="O21" s="106"/>
      <c r="P21" s="41">
        <f t="shared" ref="P21:P27" si="2">(D21+E21+F21+G21+H21+I21+J21+K21+L21+M21+N21+O21)/10</f>
        <v>0</v>
      </c>
      <c r="Q21" s="41">
        <f t="shared" ref="Q21:Q27" si="3">P21*100/C21</f>
        <v>0</v>
      </c>
    </row>
    <row r="22" spans="1:17" ht="15" customHeight="1" x14ac:dyDescent="0.25">
      <c r="A22" s="106">
        <v>14</v>
      </c>
      <c r="B22" s="107" t="s">
        <v>961</v>
      </c>
      <c r="C22" s="106">
        <v>6</v>
      </c>
      <c r="D22" s="106">
        <v>17</v>
      </c>
      <c r="E22" s="106"/>
      <c r="F22" s="106">
        <v>17</v>
      </c>
      <c r="G22" s="106"/>
      <c r="H22" s="106"/>
      <c r="I22" s="106"/>
      <c r="J22" s="106">
        <v>17</v>
      </c>
      <c r="K22" s="106"/>
      <c r="L22" s="106">
        <v>17</v>
      </c>
      <c r="M22" s="106"/>
      <c r="N22" s="106"/>
      <c r="O22" s="106"/>
      <c r="P22" s="41">
        <f t="shared" si="2"/>
        <v>6.8</v>
      </c>
      <c r="Q22" s="41">
        <f t="shared" si="3"/>
        <v>113.33333333333333</v>
      </c>
    </row>
    <row r="23" spans="1:17" ht="15" hidden="1" customHeight="1" x14ac:dyDescent="0.25">
      <c r="A23" s="106">
        <v>19</v>
      </c>
      <c r="B23" s="107" t="s">
        <v>440</v>
      </c>
      <c r="C23" s="106"/>
      <c r="D23" s="106"/>
      <c r="E23" s="106"/>
      <c r="F23" s="106"/>
      <c r="G23" s="106"/>
      <c r="H23" s="106"/>
      <c r="I23" s="106"/>
      <c r="J23" s="106"/>
      <c r="K23" s="106"/>
      <c r="L23" s="106"/>
      <c r="M23" s="106"/>
      <c r="N23" s="106"/>
      <c r="O23" s="106"/>
      <c r="P23" s="41">
        <f t="shared" si="2"/>
        <v>0</v>
      </c>
      <c r="Q23" s="41" t="e">
        <f t="shared" si="3"/>
        <v>#DIV/0!</v>
      </c>
    </row>
    <row r="24" spans="1:17" ht="15" customHeight="1" x14ac:dyDescent="0.25">
      <c r="A24" s="106">
        <v>15</v>
      </c>
      <c r="B24" s="107" t="s">
        <v>191</v>
      </c>
      <c r="C24" s="106">
        <v>18</v>
      </c>
      <c r="D24" s="106">
        <v>16</v>
      </c>
      <c r="E24" s="106">
        <v>17</v>
      </c>
      <c r="F24" s="106">
        <v>10</v>
      </c>
      <c r="G24" s="106">
        <v>20</v>
      </c>
      <c r="H24" s="106">
        <v>17</v>
      </c>
      <c r="I24" s="106"/>
      <c r="J24" s="106">
        <v>14</v>
      </c>
      <c r="K24" s="106">
        <v>17</v>
      </c>
      <c r="L24" s="106">
        <v>35</v>
      </c>
      <c r="M24" s="106">
        <v>19</v>
      </c>
      <c r="N24" s="106">
        <v>15</v>
      </c>
      <c r="O24" s="106"/>
      <c r="P24" s="41">
        <f t="shared" si="2"/>
        <v>18</v>
      </c>
      <c r="Q24" s="41">
        <f t="shared" si="3"/>
        <v>100</v>
      </c>
    </row>
    <row r="25" spans="1:17" ht="15" customHeight="1" x14ac:dyDescent="0.25">
      <c r="A25" s="106">
        <v>16</v>
      </c>
      <c r="B25" s="107" t="s">
        <v>207</v>
      </c>
      <c r="C25" s="106">
        <v>9</v>
      </c>
      <c r="D25" s="106">
        <v>13</v>
      </c>
      <c r="E25" s="106">
        <v>13</v>
      </c>
      <c r="F25" s="106">
        <v>9</v>
      </c>
      <c r="G25" s="106">
        <v>7</v>
      </c>
      <c r="H25" s="106">
        <v>16</v>
      </c>
      <c r="I25" s="106"/>
      <c r="J25" s="106">
        <v>7</v>
      </c>
      <c r="K25" s="106">
        <v>10</v>
      </c>
      <c r="L25" s="106">
        <v>8</v>
      </c>
      <c r="M25" s="106">
        <v>5</v>
      </c>
      <c r="N25" s="106">
        <v>14</v>
      </c>
      <c r="O25" s="106"/>
      <c r="P25" s="41">
        <f t="shared" si="2"/>
        <v>10.199999999999999</v>
      </c>
      <c r="Q25" s="41">
        <f t="shared" si="3"/>
        <v>113.33333333333331</v>
      </c>
    </row>
    <row r="26" spans="1:17" ht="15" hidden="1" customHeight="1" x14ac:dyDescent="0.25">
      <c r="A26" s="106">
        <v>22</v>
      </c>
      <c r="B26" s="107"/>
      <c r="C26" s="106"/>
      <c r="D26" s="106"/>
      <c r="E26" s="106"/>
      <c r="F26" s="106"/>
      <c r="G26" s="106"/>
      <c r="H26" s="106"/>
      <c r="I26" s="106"/>
      <c r="J26" s="106"/>
      <c r="K26" s="106"/>
      <c r="L26" s="106"/>
      <c r="M26" s="106"/>
      <c r="N26" s="106"/>
      <c r="O26" s="106"/>
      <c r="P26" s="41">
        <f t="shared" si="2"/>
        <v>0</v>
      </c>
      <c r="Q26" s="41" t="e">
        <f t="shared" si="3"/>
        <v>#DIV/0!</v>
      </c>
    </row>
    <row r="27" spans="1:17" ht="129.94999999999999" customHeight="1" x14ac:dyDescent="0.25">
      <c r="A27" s="106">
        <v>17</v>
      </c>
      <c r="B27" s="227" t="s">
        <v>962</v>
      </c>
      <c r="C27" s="106">
        <v>18</v>
      </c>
      <c r="D27" s="106">
        <v>20</v>
      </c>
      <c r="E27" s="106">
        <v>17</v>
      </c>
      <c r="F27" s="106">
        <v>20</v>
      </c>
      <c r="G27" s="106">
        <v>19.5</v>
      </c>
      <c r="H27" s="106">
        <v>17</v>
      </c>
      <c r="I27" s="106"/>
      <c r="J27" s="106">
        <v>20</v>
      </c>
      <c r="K27" s="106">
        <v>14</v>
      </c>
      <c r="L27" s="106">
        <v>20</v>
      </c>
      <c r="M27" s="106">
        <v>17</v>
      </c>
      <c r="N27" s="106">
        <v>17</v>
      </c>
      <c r="O27" s="106"/>
      <c r="P27" s="41">
        <f t="shared" si="2"/>
        <v>18.149999999999999</v>
      </c>
      <c r="Q27" s="41">
        <f t="shared" si="3"/>
        <v>100.83333333333331</v>
      </c>
    </row>
    <row r="28" spans="1:17" ht="15" hidden="1" customHeight="1" x14ac:dyDescent="0.25">
      <c r="A28" s="106"/>
      <c r="B28" s="107"/>
      <c r="C28" s="106"/>
      <c r="D28" s="106"/>
      <c r="E28" s="106"/>
      <c r="F28" s="106"/>
      <c r="G28" s="106"/>
      <c r="H28" s="106"/>
      <c r="I28" s="106"/>
      <c r="J28" s="106"/>
      <c r="K28" s="106"/>
      <c r="L28" s="106"/>
      <c r="M28" s="106"/>
      <c r="N28" s="106"/>
      <c r="O28" s="106"/>
      <c r="P28" s="41"/>
      <c r="Q28" s="41"/>
    </row>
    <row r="29" spans="1:17" ht="15" customHeight="1" x14ac:dyDescent="0.25">
      <c r="A29" s="106">
        <v>18</v>
      </c>
      <c r="B29" s="107" t="s">
        <v>963</v>
      </c>
      <c r="C29" s="106">
        <v>0.6</v>
      </c>
      <c r="D29" s="106">
        <v>1</v>
      </c>
      <c r="E29" s="106">
        <v>1</v>
      </c>
      <c r="F29" s="106">
        <v>1</v>
      </c>
      <c r="G29" s="106">
        <v>2</v>
      </c>
      <c r="H29" s="106"/>
      <c r="I29" s="106"/>
      <c r="J29" s="106">
        <v>1</v>
      </c>
      <c r="K29" s="106"/>
      <c r="L29" s="106"/>
      <c r="M29" s="106">
        <v>2</v>
      </c>
      <c r="N29" s="106">
        <v>1</v>
      </c>
      <c r="O29" s="106"/>
      <c r="P29" s="41">
        <f>(D29+E29+F29+G29+H29+I29+J29+K29+L29+M29+N29+O29)/10</f>
        <v>0.9</v>
      </c>
      <c r="Q29" s="41">
        <f>P29*100/C29</f>
        <v>150</v>
      </c>
    </row>
    <row r="30" spans="1:17" ht="15" customHeight="1" x14ac:dyDescent="0.25">
      <c r="A30" s="106">
        <v>19</v>
      </c>
      <c r="B30" s="107" t="s">
        <v>964</v>
      </c>
      <c r="C30" s="106">
        <v>0.6</v>
      </c>
      <c r="D30" s="106"/>
      <c r="E30" s="106"/>
      <c r="F30" s="106"/>
      <c r="G30" s="106"/>
      <c r="H30" s="106"/>
      <c r="I30" s="106"/>
      <c r="J30" s="106"/>
      <c r="K30" s="106"/>
      <c r="L30" s="106">
        <v>4</v>
      </c>
      <c r="M30" s="106"/>
      <c r="N30" s="106"/>
      <c r="O30" s="106"/>
      <c r="P30" s="41">
        <f>(D30+E30+F30+G30+H30+I30+J30+K30+L30+M30+N30+O30)/10</f>
        <v>0.4</v>
      </c>
      <c r="Q30" s="41">
        <f>P30*100/C30</f>
        <v>66.666666666666671</v>
      </c>
    </row>
    <row r="31" spans="1:17" ht="15" customHeight="1" x14ac:dyDescent="0.25">
      <c r="A31" s="106">
        <v>20</v>
      </c>
      <c r="B31" s="107" t="s">
        <v>849</v>
      </c>
      <c r="C31" s="106">
        <v>1.2</v>
      </c>
      <c r="D31" s="106">
        <v>6</v>
      </c>
      <c r="E31" s="106"/>
      <c r="F31" s="106"/>
      <c r="G31" s="106"/>
      <c r="H31" s="106"/>
      <c r="I31" s="106"/>
      <c r="J31" s="106">
        <v>6</v>
      </c>
      <c r="K31" s="106"/>
      <c r="L31" s="106"/>
      <c r="M31" s="106"/>
      <c r="N31" s="106"/>
      <c r="O31" s="106"/>
      <c r="P31" s="41">
        <f>(D31+E31+F31+G31+H31+I31+J31+K31+L31+M31+N31+O31)/10</f>
        <v>1.2</v>
      </c>
      <c r="Q31" s="41">
        <f>P31*100/C31</f>
        <v>100</v>
      </c>
    </row>
    <row r="32" spans="1:17" ht="15" customHeight="1" x14ac:dyDescent="0.25">
      <c r="A32" s="106">
        <v>21</v>
      </c>
      <c r="B32" s="107" t="s">
        <v>965</v>
      </c>
      <c r="C32" s="106">
        <v>0.12</v>
      </c>
      <c r="D32" s="106"/>
      <c r="E32" s="106"/>
      <c r="F32" s="106"/>
      <c r="G32" s="106"/>
      <c r="H32" s="106"/>
      <c r="I32" s="106"/>
      <c r="J32" s="106"/>
      <c r="K32" s="106"/>
      <c r="L32" s="106"/>
      <c r="M32" s="106"/>
      <c r="N32" s="106"/>
      <c r="O32" s="106"/>
      <c r="P32" s="41">
        <f>(D32+E32+F32+G32+H32+I32+J32+K32+L32+M32+N32+O32)/10</f>
        <v>0</v>
      </c>
      <c r="Q32" s="41">
        <f>P32*100/C32</f>
        <v>0</v>
      </c>
    </row>
    <row r="33" spans="1:17" ht="15" hidden="1" customHeight="1" x14ac:dyDescent="0.25">
      <c r="A33" s="106"/>
      <c r="B33" s="107"/>
      <c r="C33" s="106"/>
      <c r="D33" s="106"/>
      <c r="E33" s="106"/>
      <c r="F33" s="106"/>
      <c r="G33" s="106"/>
      <c r="H33" s="106"/>
      <c r="I33" s="106"/>
      <c r="J33" s="106"/>
      <c r="K33" s="106"/>
      <c r="L33" s="106"/>
      <c r="M33" s="106"/>
      <c r="N33" s="106"/>
      <c r="O33" s="106"/>
      <c r="P33" s="41">
        <f t="shared" ref="P33:P34" si="4">(D33+E33+F33+G33+H33+I33+J33+K33+L33+M33+N33+O33)/10</f>
        <v>0</v>
      </c>
      <c r="Q33" s="41"/>
    </row>
    <row r="34" spans="1:17" ht="39.950000000000003" customHeight="1" x14ac:dyDescent="0.25">
      <c r="A34" s="106">
        <v>22</v>
      </c>
      <c r="B34" s="225" t="s">
        <v>966</v>
      </c>
      <c r="C34" s="106">
        <v>1.8</v>
      </c>
      <c r="D34" s="106">
        <v>2</v>
      </c>
      <c r="E34" s="106">
        <v>1.6</v>
      </c>
      <c r="F34" s="106">
        <v>1.9</v>
      </c>
      <c r="G34" s="106">
        <v>2</v>
      </c>
      <c r="H34" s="106">
        <v>2</v>
      </c>
      <c r="I34" s="106"/>
      <c r="J34" s="106">
        <v>1.6</v>
      </c>
      <c r="K34" s="106">
        <v>1.8</v>
      </c>
      <c r="L34" s="106">
        <v>1.9</v>
      </c>
      <c r="M34" s="106">
        <v>2</v>
      </c>
      <c r="N34" s="106">
        <v>1.2</v>
      </c>
      <c r="O34" s="106"/>
      <c r="P34" s="41">
        <f t="shared" si="4"/>
        <v>1.8</v>
      </c>
      <c r="Q34" s="41">
        <f>P34*100/C34</f>
        <v>100</v>
      </c>
    </row>
    <row r="35" spans="1:17" ht="15" customHeight="1" x14ac:dyDescent="0.25">
      <c r="A35" s="106"/>
      <c r="B35" s="107"/>
      <c r="C35" s="106"/>
      <c r="D35" s="106"/>
      <c r="E35" s="106"/>
      <c r="F35" s="106"/>
      <c r="G35" s="106"/>
      <c r="H35" s="106"/>
      <c r="I35" s="106"/>
      <c r="J35" s="106"/>
      <c r="K35" s="106"/>
      <c r="L35" s="106"/>
      <c r="M35" s="106"/>
      <c r="N35" s="106"/>
      <c r="O35" s="106"/>
      <c r="P35" s="41"/>
      <c r="Q35" s="41"/>
    </row>
  </sheetData>
  <mergeCells count="8">
    <mergeCell ref="D3:O3"/>
    <mergeCell ref="P3:P4"/>
    <mergeCell ref="Q3:Q4"/>
    <mergeCell ref="A1:Q1"/>
    <mergeCell ref="A3:A4"/>
    <mergeCell ref="B3:B4"/>
    <mergeCell ref="C3:C4"/>
    <mergeCell ref="A2:Q2"/>
  </mergeCells>
  <pageMargins left="0.39370078740157483" right="0.39370078740157483" top="0.39370078740157483" bottom="0.39370078740157483" header="0" footer="0"/>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workbookViewId="0">
      <selection sqref="A1:A2"/>
    </sheetView>
  </sheetViews>
  <sheetFormatPr defaultRowHeight="15" x14ac:dyDescent="0.25"/>
  <sheetData>
    <row r="1" spans="1:32" s="66" customFormat="1" ht="23.25" customHeight="1" x14ac:dyDescent="0.25">
      <c r="A1" s="424" t="s">
        <v>120</v>
      </c>
      <c r="B1" s="426" t="s">
        <v>91</v>
      </c>
      <c r="C1" s="425" t="s">
        <v>3</v>
      </c>
      <c r="D1" s="424" t="s">
        <v>121</v>
      </c>
      <c r="E1" s="424"/>
      <c r="F1" s="424"/>
      <c r="G1" s="425" t="s">
        <v>13</v>
      </c>
      <c r="H1" s="423" t="s">
        <v>5</v>
      </c>
      <c r="I1" s="423"/>
      <c r="J1" s="423"/>
      <c r="K1" s="423"/>
      <c r="L1" s="423" t="s">
        <v>6</v>
      </c>
      <c r="M1" s="423"/>
      <c r="N1" s="423"/>
      <c r="O1" s="423"/>
      <c r="R1" s="424" t="s">
        <v>120</v>
      </c>
      <c r="S1" s="425" t="s">
        <v>91</v>
      </c>
      <c r="T1" s="425" t="s">
        <v>3</v>
      </c>
      <c r="U1" s="424" t="s">
        <v>121</v>
      </c>
      <c r="V1" s="424"/>
      <c r="W1" s="424"/>
      <c r="X1" s="425" t="s">
        <v>13</v>
      </c>
      <c r="Y1" s="423" t="s">
        <v>5</v>
      </c>
      <c r="Z1" s="423"/>
      <c r="AA1" s="423"/>
      <c r="AB1" s="423"/>
      <c r="AC1" s="423" t="s">
        <v>6</v>
      </c>
      <c r="AD1" s="423"/>
      <c r="AE1" s="423"/>
      <c r="AF1" s="423"/>
    </row>
    <row r="2" spans="1:32" s="66" customFormat="1" ht="60" customHeight="1" x14ac:dyDescent="0.25">
      <c r="A2" s="424"/>
      <c r="B2" s="426"/>
      <c r="C2" s="425"/>
      <c r="D2" s="68" t="s">
        <v>122</v>
      </c>
      <c r="E2" s="68" t="s">
        <v>123</v>
      </c>
      <c r="F2" s="68" t="s">
        <v>124</v>
      </c>
      <c r="G2" s="425"/>
      <c r="H2" s="69" t="s">
        <v>125</v>
      </c>
      <c r="I2" s="69" t="s">
        <v>15</v>
      </c>
      <c r="J2" s="69" t="s">
        <v>16</v>
      </c>
      <c r="K2" s="69" t="s">
        <v>17</v>
      </c>
      <c r="L2" s="69" t="s">
        <v>18</v>
      </c>
      <c r="M2" s="69" t="s">
        <v>19</v>
      </c>
      <c r="N2" s="69" t="s">
        <v>20</v>
      </c>
      <c r="O2" s="69" t="s">
        <v>21</v>
      </c>
      <c r="R2" s="424"/>
      <c r="S2" s="425"/>
      <c r="T2" s="425"/>
      <c r="U2" s="68" t="s">
        <v>122</v>
      </c>
      <c r="V2" s="68" t="s">
        <v>123</v>
      </c>
      <c r="W2" s="68" t="s">
        <v>124</v>
      </c>
      <c r="X2" s="425"/>
      <c r="Y2" s="69" t="s">
        <v>125</v>
      </c>
      <c r="Z2" s="69" t="s">
        <v>15</v>
      </c>
      <c r="AA2" s="69" t="s">
        <v>16</v>
      </c>
      <c r="AB2" s="69" t="s">
        <v>17</v>
      </c>
      <c r="AC2" s="69" t="s">
        <v>18</v>
      </c>
      <c r="AD2" s="69" t="s">
        <v>19</v>
      </c>
      <c r="AE2" s="69" t="s">
        <v>20</v>
      </c>
      <c r="AF2" s="69" t="s">
        <v>21</v>
      </c>
    </row>
    <row r="3" spans="1:32" s="66" customFormat="1" ht="15.75" x14ac:dyDescent="0.25">
      <c r="A3" s="70">
        <v>1</v>
      </c>
      <c r="B3" s="13">
        <v>2</v>
      </c>
      <c r="C3" s="70">
        <v>3</v>
      </c>
      <c r="D3" s="13">
        <v>4</v>
      </c>
      <c r="E3" s="70">
        <v>5</v>
      </c>
      <c r="F3" s="13">
        <v>6</v>
      </c>
      <c r="G3" s="70">
        <v>7</v>
      </c>
      <c r="H3" s="71">
        <v>8</v>
      </c>
      <c r="I3" s="70">
        <v>9</v>
      </c>
      <c r="J3" s="71">
        <v>10</v>
      </c>
      <c r="K3" s="71">
        <v>11</v>
      </c>
      <c r="L3" s="71">
        <v>12</v>
      </c>
      <c r="M3" s="71">
        <v>13</v>
      </c>
      <c r="N3" s="70">
        <v>14</v>
      </c>
      <c r="O3" s="70">
        <v>15</v>
      </c>
      <c r="R3" s="70">
        <v>1</v>
      </c>
      <c r="S3" s="13">
        <v>2</v>
      </c>
      <c r="T3" s="70">
        <v>3</v>
      </c>
      <c r="U3" s="13">
        <v>4</v>
      </c>
      <c r="V3" s="70">
        <v>5</v>
      </c>
      <c r="W3" s="13">
        <v>6</v>
      </c>
      <c r="X3" s="70">
        <v>7</v>
      </c>
      <c r="Y3" s="71">
        <v>8</v>
      </c>
      <c r="Z3" s="70">
        <v>9</v>
      </c>
      <c r="AA3" s="71">
        <v>10</v>
      </c>
      <c r="AB3" s="71">
        <v>11</v>
      </c>
      <c r="AC3" s="71">
        <v>12</v>
      </c>
      <c r="AD3" s="71">
        <v>13</v>
      </c>
      <c r="AE3" s="70">
        <v>14</v>
      </c>
      <c r="AF3" s="70">
        <v>15</v>
      </c>
    </row>
    <row r="4" spans="1:32" s="66" customFormat="1" ht="16.5" customHeight="1" x14ac:dyDescent="0.25">
      <c r="A4" s="416">
        <v>1</v>
      </c>
      <c r="B4" s="72" t="s">
        <v>126</v>
      </c>
      <c r="C4" s="74">
        <f>'12 дней с 12 до 18 лет'!C16</f>
        <v>630</v>
      </c>
      <c r="D4" s="74">
        <f>'12 дней с 12 до 18 лет'!D16</f>
        <v>19.290000000000003</v>
      </c>
      <c r="E4" s="74">
        <f>'12 дней с 12 до 18 лет'!E16</f>
        <v>18.87</v>
      </c>
      <c r="F4" s="74">
        <f>'12 дней с 12 до 18 лет'!F16</f>
        <v>79.73</v>
      </c>
      <c r="G4" s="74">
        <f>'12 дней с 12 до 18 лет'!G16</f>
        <v>670.85</v>
      </c>
      <c r="H4" s="74" t="e">
        <f>'12 дней с 12 до 18 лет'!#REF!</f>
        <v>#REF!</v>
      </c>
      <c r="I4" s="74">
        <f>'12 дней с 12 до 18 лет'!I16</f>
        <v>0</v>
      </c>
      <c r="J4" s="74">
        <f>'12 дней с 12 до 18 лет'!J16</f>
        <v>0</v>
      </c>
      <c r="K4" s="74">
        <f>'12 дней с 12 до 18 лет'!K16</f>
        <v>0</v>
      </c>
      <c r="L4" s="74">
        <f>'12 дней с 12 до 18 лет'!L16</f>
        <v>0</v>
      </c>
      <c r="M4" s="74">
        <f>'12 дней с 12 до 18 лет'!M16</f>
        <v>0</v>
      </c>
      <c r="N4" s="74">
        <f>'12 дней с 12 до 18 лет'!N16</f>
        <v>0</v>
      </c>
      <c r="O4" s="74">
        <f>'12 дней с 12 до 18 лет'!O16</f>
        <v>0</v>
      </c>
      <c r="R4" s="427"/>
      <c r="S4" s="75" t="s">
        <v>126</v>
      </c>
      <c r="T4" s="73"/>
      <c r="U4" s="74" t="e">
        <f>D4+D9+D14+D19+D24+D29+D34+D39+D44+D49+D54+D59</f>
        <v>#REF!</v>
      </c>
      <c r="V4" s="74" t="e">
        <f t="shared" ref="V4:AF4" si="0">E4+E9+E14+E19+E24+E29+E34+E39+E44+E49+E54+E59</f>
        <v>#REF!</v>
      </c>
      <c r="W4" s="74" t="e">
        <f t="shared" si="0"/>
        <v>#REF!</v>
      </c>
      <c r="X4" s="92" t="e">
        <f t="shared" si="0"/>
        <v>#REF!</v>
      </c>
      <c r="Y4" s="74" t="e">
        <f t="shared" si="0"/>
        <v>#REF!</v>
      </c>
      <c r="Z4" s="74" t="e">
        <f t="shared" si="0"/>
        <v>#REF!</v>
      </c>
      <c r="AA4" s="74" t="e">
        <f t="shared" si="0"/>
        <v>#REF!</v>
      </c>
      <c r="AB4" s="74" t="e">
        <f t="shared" si="0"/>
        <v>#REF!</v>
      </c>
      <c r="AC4" s="74" t="e">
        <f t="shared" si="0"/>
        <v>#REF!</v>
      </c>
      <c r="AD4" s="74" t="e">
        <f t="shared" si="0"/>
        <v>#REF!</v>
      </c>
      <c r="AE4" s="74" t="e">
        <f t="shared" si="0"/>
        <v>#REF!</v>
      </c>
      <c r="AF4" s="74" t="e">
        <f t="shared" si="0"/>
        <v>#REF!</v>
      </c>
    </row>
    <row r="5" spans="1:32" s="66" customFormat="1" ht="16.5" customHeight="1" x14ac:dyDescent="0.25">
      <c r="A5" s="417"/>
      <c r="B5" s="72" t="s">
        <v>127</v>
      </c>
      <c r="C5" s="74" t="e">
        <f>'12 дней с 12 до 18 лет'!#REF!</f>
        <v>#REF!</v>
      </c>
      <c r="D5" s="74" t="e">
        <f>'12 дней с 12 до 18 лет'!#REF!</f>
        <v>#REF!</v>
      </c>
      <c r="E5" s="74" t="e">
        <f>'12 дней с 12 до 18 лет'!#REF!</f>
        <v>#REF!</v>
      </c>
      <c r="F5" s="74" t="e">
        <f>'12 дней с 12 до 18 лет'!#REF!</f>
        <v>#REF!</v>
      </c>
      <c r="G5" s="74" t="e">
        <f>'12 дней с 12 до 18 лет'!#REF!</f>
        <v>#REF!</v>
      </c>
      <c r="H5" s="74" t="e">
        <f>'12 дней с 12 до 18 лет'!#REF!</f>
        <v>#REF!</v>
      </c>
      <c r="I5" s="74" t="e">
        <f>'12 дней с 12 до 18 лет'!#REF!</f>
        <v>#REF!</v>
      </c>
      <c r="J5" s="74" t="e">
        <f>'12 дней с 12 до 18 лет'!#REF!</f>
        <v>#REF!</v>
      </c>
      <c r="K5" s="74" t="e">
        <f>'12 дней с 12 до 18 лет'!#REF!</f>
        <v>#REF!</v>
      </c>
      <c r="L5" s="74" t="e">
        <f>'12 дней с 12 до 18 лет'!#REF!</f>
        <v>#REF!</v>
      </c>
      <c r="M5" s="74" t="e">
        <f>'12 дней с 12 до 18 лет'!#REF!</f>
        <v>#REF!</v>
      </c>
      <c r="N5" s="74" t="e">
        <f>'12 дней с 12 до 18 лет'!#REF!</f>
        <v>#REF!</v>
      </c>
      <c r="O5" s="74" t="e">
        <f>'12 дней с 12 до 18 лет'!#REF!</f>
        <v>#REF!</v>
      </c>
      <c r="R5" s="428"/>
      <c r="S5" s="419" t="s">
        <v>127</v>
      </c>
      <c r="T5" s="420"/>
      <c r="U5" s="74" t="e">
        <f>D5+D10+D15+D20+D25+D30+D35+D40+D45+D50+D55+D60</f>
        <v>#REF!</v>
      </c>
      <c r="V5" s="74" t="e">
        <f t="shared" ref="V5:AF6" si="1">E5+E10+E15+E20+E25+E30+E35+E40+E45+E50+E55+E60</f>
        <v>#REF!</v>
      </c>
      <c r="W5" s="74" t="e">
        <f t="shared" si="1"/>
        <v>#REF!</v>
      </c>
      <c r="X5" s="92" t="e">
        <f>G5+G10+G15+G20+G25+G30+G35+G40+G45+G50+G55+G60</f>
        <v>#REF!</v>
      </c>
      <c r="Y5" s="74" t="e">
        <f t="shared" si="1"/>
        <v>#REF!</v>
      </c>
      <c r="Z5" s="74" t="e">
        <f t="shared" si="1"/>
        <v>#REF!</v>
      </c>
      <c r="AA5" s="74" t="e">
        <f t="shared" si="1"/>
        <v>#REF!</v>
      </c>
      <c r="AB5" s="74" t="e">
        <f t="shared" si="1"/>
        <v>#REF!</v>
      </c>
      <c r="AC5" s="74" t="e">
        <f t="shared" si="1"/>
        <v>#REF!</v>
      </c>
      <c r="AD5" s="74" t="e">
        <f t="shared" si="1"/>
        <v>#REF!</v>
      </c>
      <c r="AE5" s="74" t="e">
        <f t="shared" si="1"/>
        <v>#REF!</v>
      </c>
      <c r="AF5" s="74" t="e">
        <f t="shared" si="1"/>
        <v>#REF!</v>
      </c>
    </row>
    <row r="6" spans="1:32" s="66" customFormat="1" ht="16.5" customHeight="1" x14ac:dyDescent="0.25">
      <c r="A6" s="417"/>
      <c r="B6" s="107" t="s">
        <v>1034</v>
      </c>
      <c r="C6" s="278">
        <f>'12 дней с 12 до 18 лет'!C17</f>
        <v>0</v>
      </c>
      <c r="D6" s="74">
        <f>'12 дней с 12 до 18 лет'!D17</f>
        <v>0</v>
      </c>
      <c r="E6" s="74">
        <f>'12 дней с 12 до 18 лет'!E17</f>
        <v>0</v>
      </c>
      <c r="F6" s="74">
        <f>'12 дней с 12 до 18 лет'!F17</f>
        <v>0</v>
      </c>
      <c r="G6" s="74">
        <f>'12 дней с 12 до 18 лет'!G17</f>
        <v>0</v>
      </c>
      <c r="H6" s="74" t="e">
        <f>'12 дней с 12 до 18 лет'!#REF!</f>
        <v>#REF!</v>
      </c>
      <c r="I6" s="74">
        <f>'12 дней с 12 до 18 лет'!H17</f>
        <v>0</v>
      </c>
      <c r="J6" s="74">
        <f>'12 дней с 12 до 18 лет'!I17</f>
        <v>0</v>
      </c>
      <c r="K6" s="74">
        <f>'12 дней с 12 до 18 лет'!J17</f>
        <v>0</v>
      </c>
      <c r="L6" s="74">
        <f>'12 дней с 12 до 18 лет'!K17</f>
        <v>0</v>
      </c>
      <c r="M6" s="74">
        <f>'12 дней с 12 до 18 лет'!L17</f>
        <v>0</v>
      </c>
      <c r="N6" s="74">
        <f>'12 дней с 12 до 18 лет'!M17</f>
        <v>0</v>
      </c>
      <c r="O6" s="74">
        <f>'12 дней с 12 до 18 лет'!N17</f>
        <v>0</v>
      </c>
      <c r="R6" s="428"/>
      <c r="S6" s="75" t="s">
        <v>1034</v>
      </c>
      <c r="T6" s="75"/>
      <c r="U6" s="74" t="e">
        <f>D6+D11+D16+D21+D26+D31+D36+D41+D46+D51+D56+D61</f>
        <v>#REF!</v>
      </c>
      <c r="V6" s="74" t="e">
        <f t="shared" si="1"/>
        <v>#REF!</v>
      </c>
      <c r="W6" s="74" t="e">
        <f t="shared" si="1"/>
        <v>#REF!</v>
      </c>
      <c r="X6" s="74" t="e">
        <f>G6+G11+G16+G21+G26+G31+G36+G41+G46+G51+G56+G61</f>
        <v>#REF!</v>
      </c>
      <c r="Y6" s="74" t="e">
        <f t="shared" si="1"/>
        <v>#REF!</v>
      </c>
      <c r="Z6" s="74" t="e">
        <f t="shared" si="1"/>
        <v>#REF!</v>
      </c>
      <c r="AA6" s="74" t="e">
        <f t="shared" si="1"/>
        <v>#REF!</v>
      </c>
      <c r="AB6" s="74" t="e">
        <f t="shared" si="1"/>
        <v>#REF!</v>
      </c>
      <c r="AC6" s="74" t="e">
        <f t="shared" si="1"/>
        <v>#REF!</v>
      </c>
      <c r="AD6" s="74" t="e">
        <f t="shared" si="1"/>
        <v>#REF!</v>
      </c>
      <c r="AE6" s="74" t="e">
        <f t="shared" si="1"/>
        <v>#REF!</v>
      </c>
      <c r="AF6" s="74" t="e">
        <f t="shared" si="1"/>
        <v>#REF!</v>
      </c>
    </row>
    <row r="7" spans="1:32" s="66" customFormat="1" ht="16.5" customHeight="1" x14ac:dyDescent="0.25">
      <c r="A7" s="89"/>
      <c r="B7" s="76" t="s">
        <v>128</v>
      </c>
      <c r="C7" s="73"/>
      <c r="D7" s="77" t="e">
        <f>SUM(D4:D6)</f>
        <v>#REF!</v>
      </c>
      <c r="E7" s="77" t="e">
        <f t="shared" ref="E7:O7" si="2">SUM(E4:E6)</f>
        <v>#REF!</v>
      </c>
      <c r="F7" s="77" t="e">
        <f t="shared" si="2"/>
        <v>#REF!</v>
      </c>
      <c r="G7" s="77" t="e">
        <f t="shared" si="2"/>
        <v>#REF!</v>
      </c>
      <c r="H7" s="77" t="e">
        <f t="shared" si="2"/>
        <v>#REF!</v>
      </c>
      <c r="I7" s="77" t="e">
        <f t="shared" si="2"/>
        <v>#REF!</v>
      </c>
      <c r="J7" s="77" t="e">
        <f t="shared" si="2"/>
        <v>#REF!</v>
      </c>
      <c r="K7" s="77" t="e">
        <f t="shared" si="2"/>
        <v>#REF!</v>
      </c>
      <c r="L7" s="77" t="e">
        <f t="shared" si="2"/>
        <v>#REF!</v>
      </c>
      <c r="M7" s="77" t="e">
        <f t="shared" si="2"/>
        <v>#REF!</v>
      </c>
      <c r="N7" s="77" t="e">
        <f t="shared" si="2"/>
        <v>#REF!</v>
      </c>
      <c r="O7" s="77" t="e">
        <f t="shared" si="2"/>
        <v>#REF!</v>
      </c>
      <c r="R7" s="429"/>
      <c r="S7" s="421" t="s">
        <v>129</v>
      </c>
      <c r="T7" s="422"/>
      <c r="U7" s="74" t="e">
        <f>SUM(U4:U6)</f>
        <v>#REF!</v>
      </c>
      <c r="V7" s="74" t="e">
        <f t="shared" ref="V7:AF7" si="3">SUM(V4:V6)</f>
        <v>#REF!</v>
      </c>
      <c r="W7" s="74" t="e">
        <f t="shared" si="3"/>
        <v>#REF!</v>
      </c>
      <c r="X7" s="92" t="e">
        <f t="shared" si="3"/>
        <v>#REF!</v>
      </c>
      <c r="Y7" s="74" t="e">
        <f t="shared" si="3"/>
        <v>#REF!</v>
      </c>
      <c r="Z7" s="74" t="e">
        <f t="shared" si="3"/>
        <v>#REF!</v>
      </c>
      <c r="AA7" s="74" t="e">
        <f t="shared" si="3"/>
        <v>#REF!</v>
      </c>
      <c r="AB7" s="74" t="e">
        <f t="shared" si="3"/>
        <v>#REF!</v>
      </c>
      <c r="AC7" s="74" t="e">
        <f t="shared" si="3"/>
        <v>#REF!</v>
      </c>
      <c r="AD7" s="92" t="e">
        <f t="shared" si="3"/>
        <v>#REF!</v>
      </c>
      <c r="AE7" s="74" t="e">
        <f t="shared" si="3"/>
        <v>#REF!</v>
      </c>
      <c r="AF7" s="74" t="e">
        <f t="shared" si="3"/>
        <v>#REF!</v>
      </c>
    </row>
    <row r="8" spans="1:32" s="66" customFormat="1" ht="16.5" customHeight="1" x14ac:dyDescent="0.25">
      <c r="A8" s="78"/>
      <c r="B8" s="79"/>
      <c r="C8" s="73"/>
      <c r="D8" s="74"/>
      <c r="E8" s="74"/>
      <c r="F8" s="74"/>
      <c r="G8" s="74"/>
      <c r="H8" s="74"/>
      <c r="I8" s="74"/>
      <c r="J8" s="74"/>
      <c r="K8" s="74"/>
      <c r="L8" s="74"/>
      <c r="M8" s="74"/>
      <c r="N8" s="74"/>
      <c r="O8" s="74"/>
      <c r="R8" s="90" t="s">
        <v>130</v>
      </c>
      <c r="S8" s="91"/>
      <c r="U8" s="80" t="e">
        <f>U7/12</f>
        <v>#REF!</v>
      </c>
      <c r="V8" s="80" t="e">
        <f t="shared" ref="V8:AF8" si="4">V7/12</f>
        <v>#REF!</v>
      </c>
      <c r="W8" s="80" t="e">
        <f t="shared" si="4"/>
        <v>#REF!</v>
      </c>
      <c r="X8" s="80" t="e">
        <f t="shared" si="4"/>
        <v>#REF!</v>
      </c>
      <c r="Y8" s="80" t="e">
        <f t="shared" si="4"/>
        <v>#REF!</v>
      </c>
      <c r="Z8" s="80" t="e">
        <f t="shared" si="4"/>
        <v>#REF!</v>
      </c>
      <c r="AA8" s="80" t="e">
        <f>AA7/12</f>
        <v>#REF!</v>
      </c>
      <c r="AB8" s="80" t="e">
        <f t="shared" si="4"/>
        <v>#REF!</v>
      </c>
      <c r="AC8" s="80" t="e">
        <f t="shared" si="4"/>
        <v>#REF!</v>
      </c>
      <c r="AD8" s="80" t="e">
        <f t="shared" si="4"/>
        <v>#REF!</v>
      </c>
      <c r="AE8" s="80" t="e">
        <f t="shared" si="4"/>
        <v>#REF!</v>
      </c>
      <c r="AF8" s="80" t="e">
        <f t="shared" si="4"/>
        <v>#REF!</v>
      </c>
    </row>
    <row r="9" spans="1:32" s="66" customFormat="1" ht="16.5" customHeight="1" x14ac:dyDescent="0.25">
      <c r="A9" s="416">
        <v>2</v>
      </c>
      <c r="B9" s="72" t="s">
        <v>126</v>
      </c>
      <c r="C9" s="74">
        <f>'12 дней с 12 до 18 лет'!C41</f>
        <v>790</v>
      </c>
      <c r="D9" s="74">
        <f>'12 дней с 12 до 18 лет'!D41</f>
        <v>19.599999999999998</v>
      </c>
      <c r="E9" s="74">
        <f>'12 дней с 12 до 18 лет'!E41</f>
        <v>21.919999999999998</v>
      </c>
      <c r="F9" s="74">
        <f>'12 дней с 12 до 18 лет'!F41</f>
        <v>78.789999999999992</v>
      </c>
      <c r="G9" s="74">
        <f>'12 дней с 12 до 18 лет'!G41</f>
        <v>676.38</v>
      </c>
      <c r="H9" s="74" t="e">
        <f>'12 дней с 12 до 18 лет'!#REF!</f>
        <v>#REF!</v>
      </c>
      <c r="I9" s="74" t="e">
        <f>'12 дней с 12 до 18 лет'!#REF!</f>
        <v>#REF!</v>
      </c>
      <c r="J9" s="74" t="e">
        <f>'12 дней с 12 до 18 лет'!#REF!</f>
        <v>#REF!</v>
      </c>
      <c r="K9" s="74" t="e">
        <f>'12 дней с 12 до 18 лет'!#REF!</f>
        <v>#REF!</v>
      </c>
      <c r="L9" s="74" t="e">
        <f>'12 дней с 12 до 18 лет'!#REF!</f>
        <v>#REF!</v>
      </c>
      <c r="M9" s="74" t="e">
        <f>'12 дней с 12 до 18 лет'!#REF!</f>
        <v>#REF!</v>
      </c>
      <c r="N9" s="74" t="e">
        <f>'12 дней с 12 до 18 лет'!#REF!</f>
        <v>#REF!</v>
      </c>
      <c r="O9" s="74" t="e">
        <f>'12 дней с 12 до 18 лет'!#REF!</f>
        <v>#REF!</v>
      </c>
      <c r="S9" s="430" t="s">
        <v>93</v>
      </c>
      <c r="T9" s="430"/>
      <c r="U9" s="81">
        <f>VLOOKUP($S9,нормы!B5:Q6, 2, FALSE)</f>
        <v>46.199999999999996</v>
      </c>
      <c r="V9" s="81">
        <f>VLOOKUP($S9,нормы!B5:Q6, 3, FALSE)</f>
        <v>47.4</v>
      </c>
      <c r="W9" s="81">
        <f>VLOOKUP($S9,нормы!B5:Q6, 4, FALSE)</f>
        <v>201</v>
      </c>
      <c r="X9" s="81">
        <f>VLOOKUP($S9,нормы!B5:Q6, 5, FALSE)</f>
        <v>1410</v>
      </c>
      <c r="Y9" s="81">
        <f>VLOOKUP($S9,нормы!B5:Q6, 6, FALSE)</f>
        <v>0.72</v>
      </c>
      <c r="Z9" s="81">
        <f>VLOOKUP($S9,нормы!B5:Q6, 8, FALSE)</f>
        <v>36</v>
      </c>
      <c r="AA9" s="81">
        <f>VLOOKUP($S9,нормы!B5:Q6, 9, FALSE)</f>
        <v>420</v>
      </c>
      <c r="AB9" s="81">
        <f>VLOOKUP($S9,нормы!B5:Q6, 10, FALSE)</f>
        <v>6</v>
      </c>
      <c r="AC9" s="81">
        <f>VLOOKUP($S9,нормы!B5:Q6, 11, FALSE)</f>
        <v>660</v>
      </c>
      <c r="AD9" s="81">
        <f>VLOOKUP($S9,нормы!B5:Q6, 12, FALSE)</f>
        <v>660</v>
      </c>
      <c r="AE9" s="81">
        <f>VLOOKUP($S9,нормы!B5:Q6, 13, FALSE)</f>
        <v>150</v>
      </c>
      <c r="AF9" s="81">
        <f>VLOOKUP($S9,нормы!B5:Q6, 14, FALSE)</f>
        <v>7.1999999999999993</v>
      </c>
    </row>
    <row r="10" spans="1:32" s="66" customFormat="1" ht="16.5" customHeight="1" x14ac:dyDescent="0.25">
      <c r="A10" s="417"/>
      <c r="B10" s="72" t="s">
        <v>127</v>
      </c>
      <c r="C10" s="74" t="e">
        <f>'12 дней с 12 до 18 лет'!#REF!</f>
        <v>#REF!</v>
      </c>
      <c r="D10" s="74" t="e">
        <f>'12 дней с 12 до 18 лет'!#REF!</f>
        <v>#REF!</v>
      </c>
      <c r="E10" s="74" t="e">
        <f>'12 дней с 12 до 18 лет'!#REF!</f>
        <v>#REF!</v>
      </c>
      <c r="F10" s="74" t="e">
        <f>'12 дней с 12 до 18 лет'!#REF!</f>
        <v>#REF!</v>
      </c>
      <c r="G10" s="74" t="e">
        <f>'12 дней с 12 до 18 лет'!#REF!</f>
        <v>#REF!</v>
      </c>
      <c r="H10" s="74" t="e">
        <f>'12 дней с 12 до 18 лет'!#REF!</f>
        <v>#REF!</v>
      </c>
      <c r="I10" s="74" t="e">
        <f>'12 дней с 12 до 18 лет'!#REF!</f>
        <v>#REF!</v>
      </c>
      <c r="J10" s="74" t="e">
        <f>'12 дней с 12 до 18 лет'!#REF!</f>
        <v>#REF!</v>
      </c>
      <c r="K10" s="74" t="e">
        <f>'12 дней с 12 до 18 лет'!#REF!</f>
        <v>#REF!</v>
      </c>
      <c r="L10" s="74" t="e">
        <f>'12 дней с 12 до 18 лет'!#REF!</f>
        <v>#REF!</v>
      </c>
      <c r="M10" s="74" t="e">
        <f>'12 дней с 12 до 18 лет'!#REF!</f>
        <v>#REF!</v>
      </c>
      <c r="N10" s="74" t="e">
        <f>'12 дней с 12 до 18 лет'!#REF!</f>
        <v>#REF!</v>
      </c>
      <c r="O10" s="74" t="e">
        <f>'12 дней с 12 до 18 лет'!#REF!</f>
        <v>#REF!</v>
      </c>
      <c r="X10" s="82"/>
      <c r="AA10" s="67"/>
    </row>
    <row r="11" spans="1:32" s="66" customFormat="1" ht="16.5" customHeight="1" x14ac:dyDescent="0.25">
      <c r="A11" s="417"/>
      <c r="B11" s="107" t="s">
        <v>1034</v>
      </c>
      <c r="C11" s="278" t="e">
        <f>'12 дней с 12 до 18 лет'!#REF!</f>
        <v>#REF!</v>
      </c>
      <c r="D11" s="74" t="e">
        <f>'12 дней с 12 до 18 лет'!#REF!</f>
        <v>#REF!</v>
      </c>
      <c r="E11" s="74" t="e">
        <f>'12 дней с 12 до 18 лет'!#REF!</f>
        <v>#REF!</v>
      </c>
      <c r="F11" s="74" t="e">
        <f>'12 дней с 12 до 18 лет'!#REF!</f>
        <v>#REF!</v>
      </c>
      <c r="G11" s="74" t="e">
        <f>'12 дней с 12 до 18 лет'!#REF!</f>
        <v>#REF!</v>
      </c>
      <c r="H11" s="74" t="e">
        <f>'12 дней с 12 до 18 лет'!#REF!</f>
        <v>#REF!</v>
      </c>
      <c r="I11" s="74">
        <f>'12 дней с 12 до 18 лет'!H43</f>
        <v>0</v>
      </c>
      <c r="J11" s="74">
        <f>'12 дней с 12 до 18 лет'!I43</f>
        <v>0</v>
      </c>
      <c r="K11" s="74">
        <f>'12 дней с 12 до 18 лет'!J43</f>
        <v>0</v>
      </c>
      <c r="L11" s="74">
        <f>'12 дней с 12 до 18 лет'!K43</f>
        <v>0</v>
      </c>
      <c r="M11" s="74">
        <f>'12 дней с 12 до 18 лет'!L43</f>
        <v>0</v>
      </c>
      <c r="N11" s="74">
        <f>'12 дней с 12 до 18 лет'!M43</f>
        <v>0</v>
      </c>
      <c r="O11" s="74">
        <f>'12 дней с 12 до 18 лет'!N43</f>
        <v>0</v>
      </c>
      <c r="R11" s="1"/>
      <c r="AA11" s="67"/>
    </row>
    <row r="12" spans="1:32" s="66" customFormat="1" ht="16.5" customHeight="1" x14ac:dyDescent="0.25">
      <c r="A12" s="89"/>
      <c r="B12" s="76" t="s">
        <v>131</v>
      </c>
      <c r="C12" s="73"/>
      <c r="D12" s="77" t="e">
        <f>SUM(D9:D11)</f>
        <v>#REF!</v>
      </c>
      <c r="E12" s="77" t="e">
        <f t="shared" ref="E12:O12" si="5">SUM(E9:E11)</f>
        <v>#REF!</v>
      </c>
      <c r="F12" s="77" t="e">
        <f t="shared" si="5"/>
        <v>#REF!</v>
      </c>
      <c r="G12" s="77" t="e">
        <f t="shared" si="5"/>
        <v>#REF!</v>
      </c>
      <c r="H12" s="77" t="e">
        <f t="shared" si="5"/>
        <v>#REF!</v>
      </c>
      <c r="I12" s="77" t="e">
        <f t="shared" si="5"/>
        <v>#REF!</v>
      </c>
      <c r="J12" s="77" t="e">
        <f t="shared" si="5"/>
        <v>#REF!</v>
      </c>
      <c r="K12" s="77" t="e">
        <f t="shared" si="5"/>
        <v>#REF!</v>
      </c>
      <c r="L12" s="77" t="e">
        <f t="shared" si="5"/>
        <v>#REF!</v>
      </c>
      <c r="M12" s="77" t="e">
        <f t="shared" si="5"/>
        <v>#REF!</v>
      </c>
      <c r="N12" s="77" t="e">
        <f t="shared" si="5"/>
        <v>#REF!</v>
      </c>
      <c r="O12" s="77" t="e">
        <f t="shared" si="5"/>
        <v>#REF!</v>
      </c>
      <c r="AA12" s="67"/>
    </row>
    <row r="13" spans="1:32" s="66" customFormat="1" ht="16.5" customHeight="1" x14ac:dyDescent="0.25">
      <c r="A13" s="78"/>
      <c r="B13" s="79"/>
      <c r="C13" s="73"/>
      <c r="D13" s="74"/>
      <c r="E13" s="74"/>
      <c r="F13" s="74"/>
      <c r="G13" s="74"/>
      <c r="H13" s="74"/>
      <c r="I13" s="74"/>
      <c r="J13" s="74"/>
      <c r="K13" s="74"/>
      <c r="L13" s="74"/>
      <c r="M13" s="74"/>
      <c r="N13" s="74"/>
      <c r="O13" s="74"/>
      <c r="AA13" s="67"/>
    </row>
    <row r="14" spans="1:32" s="66" customFormat="1" ht="16.5" customHeight="1" x14ac:dyDescent="0.25">
      <c r="A14" s="416">
        <v>3</v>
      </c>
      <c r="B14" s="72" t="s">
        <v>126</v>
      </c>
      <c r="C14" s="74" t="e">
        <f>'12 дней с 12 до 18 лет'!#REF!</f>
        <v>#REF!</v>
      </c>
      <c r="D14" s="74" t="e">
        <f>'12 дней с 12 до 18 лет'!#REF!</f>
        <v>#REF!</v>
      </c>
      <c r="E14" s="74" t="e">
        <f>'12 дней с 12 до 18 лет'!#REF!</f>
        <v>#REF!</v>
      </c>
      <c r="F14" s="74" t="e">
        <f>'12 дней с 12 до 18 лет'!#REF!</f>
        <v>#REF!</v>
      </c>
      <c r="G14" s="74" t="e">
        <f>'12 дней с 12 до 18 лет'!#REF!</f>
        <v>#REF!</v>
      </c>
      <c r="H14" s="74" t="e">
        <f>'12 дней с 12 до 18 лет'!#REF!</f>
        <v>#REF!</v>
      </c>
      <c r="I14" s="74" t="e">
        <f>'12 дней с 12 до 18 лет'!#REF!</f>
        <v>#REF!</v>
      </c>
      <c r="J14" s="74" t="e">
        <f>'12 дней с 12 до 18 лет'!#REF!</f>
        <v>#REF!</v>
      </c>
      <c r="K14" s="74" t="e">
        <f>'12 дней с 12 до 18 лет'!#REF!</f>
        <v>#REF!</v>
      </c>
      <c r="L14" s="74" t="e">
        <f>'12 дней с 12 до 18 лет'!#REF!</f>
        <v>#REF!</v>
      </c>
      <c r="M14" s="74" t="e">
        <f>'12 дней с 12 до 18 лет'!#REF!</f>
        <v>#REF!</v>
      </c>
      <c r="N14" s="74" t="e">
        <f>'12 дней с 12 до 18 лет'!#REF!</f>
        <v>#REF!</v>
      </c>
      <c r="O14" s="74" t="e">
        <f>'12 дней с 12 до 18 лет'!#REF!</f>
        <v>#REF!</v>
      </c>
      <c r="AA14" s="67"/>
    </row>
    <row r="15" spans="1:32" s="66" customFormat="1" ht="16.5" customHeight="1" x14ac:dyDescent="0.25">
      <c r="A15" s="417"/>
      <c r="B15" s="72" t="s">
        <v>127</v>
      </c>
      <c r="C15" s="74" t="e">
        <f>'12 дней с 12 до 18 лет'!#REF!</f>
        <v>#REF!</v>
      </c>
      <c r="D15" s="74" t="e">
        <f>'12 дней с 12 до 18 лет'!#REF!</f>
        <v>#REF!</v>
      </c>
      <c r="E15" s="74" t="e">
        <f>'12 дней с 12 до 18 лет'!#REF!</f>
        <v>#REF!</v>
      </c>
      <c r="F15" s="74" t="e">
        <f>'12 дней с 12 до 18 лет'!#REF!</f>
        <v>#REF!</v>
      </c>
      <c r="G15" s="74" t="e">
        <f>'12 дней с 12 до 18 лет'!#REF!</f>
        <v>#REF!</v>
      </c>
      <c r="H15" s="74" t="e">
        <f>'12 дней с 12 до 18 лет'!#REF!</f>
        <v>#REF!</v>
      </c>
      <c r="I15" s="74" t="e">
        <f>'12 дней с 12 до 18 лет'!#REF!</f>
        <v>#REF!</v>
      </c>
      <c r="J15" s="74" t="e">
        <f>'12 дней с 12 до 18 лет'!#REF!</f>
        <v>#REF!</v>
      </c>
      <c r="K15" s="74" t="e">
        <f>'12 дней с 12 до 18 лет'!#REF!</f>
        <v>#REF!</v>
      </c>
      <c r="L15" s="74" t="e">
        <f>'12 дней с 12 до 18 лет'!#REF!</f>
        <v>#REF!</v>
      </c>
      <c r="M15" s="74" t="e">
        <f>'12 дней с 12 до 18 лет'!#REF!</f>
        <v>#REF!</v>
      </c>
      <c r="N15" s="74" t="e">
        <f>'12 дней с 12 до 18 лет'!#REF!</f>
        <v>#REF!</v>
      </c>
      <c r="O15" s="74" t="e">
        <f>'12 дней с 12 до 18 лет'!#REF!</f>
        <v>#REF!</v>
      </c>
      <c r="AA15" s="67"/>
    </row>
    <row r="16" spans="1:32" s="66" customFormat="1" ht="16.5" customHeight="1" x14ac:dyDescent="0.25">
      <c r="A16" s="418"/>
      <c r="B16" s="107" t="s">
        <v>1034</v>
      </c>
      <c r="C16" s="278" t="e">
        <f>'12 дней с 12 до 18 лет'!#REF!</f>
        <v>#REF!</v>
      </c>
      <c r="D16" s="74" t="e">
        <f>'12 дней с 12 до 18 лет'!#REF!</f>
        <v>#REF!</v>
      </c>
      <c r="E16" s="74" t="e">
        <f>'12 дней с 12 до 18 лет'!#REF!</f>
        <v>#REF!</v>
      </c>
      <c r="F16" s="74" t="e">
        <f>'12 дней с 12 до 18 лет'!#REF!</f>
        <v>#REF!</v>
      </c>
      <c r="G16" s="74" t="e">
        <f>'12 дней с 12 до 18 лет'!#REF!</f>
        <v>#REF!</v>
      </c>
      <c r="H16" s="74" t="e">
        <f>'12 дней с 12 до 18 лет'!#REF!</f>
        <v>#REF!</v>
      </c>
      <c r="I16" s="74" t="e">
        <f>'12 дней с 12 до 18 лет'!#REF!</f>
        <v>#REF!</v>
      </c>
      <c r="J16" s="74" t="e">
        <f>'12 дней с 12 до 18 лет'!#REF!</f>
        <v>#REF!</v>
      </c>
      <c r="K16" s="74" t="e">
        <f>'12 дней с 12 до 18 лет'!#REF!</f>
        <v>#REF!</v>
      </c>
      <c r="L16" s="74" t="e">
        <f>'12 дней с 12 до 18 лет'!#REF!</f>
        <v>#REF!</v>
      </c>
      <c r="M16" s="74" t="e">
        <f>'12 дней с 12 до 18 лет'!#REF!</f>
        <v>#REF!</v>
      </c>
      <c r="N16" s="74" t="e">
        <f>'12 дней с 12 до 18 лет'!#REF!</f>
        <v>#REF!</v>
      </c>
      <c r="O16" s="74" t="e">
        <f>'12 дней с 12 до 18 лет'!#REF!</f>
        <v>#REF!</v>
      </c>
      <c r="AA16" s="67"/>
    </row>
    <row r="17" spans="1:27" s="66" customFormat="1" ht="16.5" customHeight="1" x14ac:dyDescent="0.25">
      <c r="A17" s="89"/>
      <c r="B17" s="76" t="s">
        <v>132</v>
      </c>
      <c r="C17" s="73"/>
      <c r="D17" s="77" t="e">
        <f>SUM(D14:D16)</f>
        <v>#REF!</v>
      </c>
      <c r="E17" s="77" t="e">
        <f t="shared" ref="E17:O17" si="6">SUM(E14:E16)</f>
        <v>#REF!</v>
      </c>
      <c r="F17" s="77" t="e">
        <f t="shared" si="6"/>
        <v>#REF!</v>
      </c>
      <c r="G17" s="77" t="e">
        <f t="shared" si="6"/>
        <v>#REF!</v>
      </c>
      <c r="H17" s="77" t="e">
        <f t="shared" si="6"/>
        <v>#REF!</v>
      </c>
      <c r="I17" s="77" t="e">
        <f t="shared" si="6"/>
        <v>#REF!</v>
      </c>
      <c r="J17" s="77" t="e">
        <f t="shared" si="6"/>
        <v>#REF!</v>
      </c>
      <c r="K17" s="77" t="e">
        <f t="shared" si="6"/>
        <v>#REF!</v>
      </c>
      <c r="L17" s="77" t="e">
        <f t="shared" si="6"/>
        <v>#REF!</v>
      </c>
      <c r="M17" s="77" t="e">
        <f t="shared" si="6"/>
        <v>#REF!</v>
      </c>
      <c r="N17" s="77" t="e">
        <f t="shared" si="6"/>
        <v>#REF!</v>
      </c>
      <c r="O17" s="77" t="e">
        <f t="shared" si="6"/>
        <v>#REF!</v>
      </c>
      <c r="P17" s="83"/>
      <c r="AA17" s="67"/>
    </row>
    <row r="18" spans="1:27" s="66" customFormat="1" ht="16.5" customHeight="1" x14ac:dyDescent="0.25">
      <c r="A18" s="78"/>
      <c r="B18" s="79"/>
      <c r="C18" s="73"/>
      <c r="D18" s="74"/>
      <c r="E18" s="74"/>
      <c r="F18" s="74"/>
      <c r="G18" s="74"/>
      <c r="H18" s="74"/>
      <c r="I18" s="74"/>
      <c r="J18" s="74"/>
      <c r="K18" s="74"/>
      <c r="L18" s="74"/>
      <c r="M18" s="74"/>
      <c r="N18" s="74"/>
      <c r="O18" s="74"/>
      <c r="AA18" s="67"/>
    </row>
    <row r="19" spans="1:27" s="66" customFormat="1" ht="16.5" customHeight="1" x14ac:dyDescent="0.25">
      <c r="A19" s="416">
        <v>4</v>
      </c>
      <c r="B19" s="72" t="s">
        <v>126</v>
      </c>
      <c r="C19" s="74">
        <f>'12 дней с 12 до 18 лет'!C85</f>
        <v>200</v>
      </c>
      <c r="D19" s="74">
        <f>'12 дней с 12 до 18 лет'!D85</f>
        <v>0.2</v>
      </c>
      <c r="E19" s="74">
        <f>'12 дней с 12 до 18 лет'!E85</f>
        <v>0</v>
      </c>
      <c r="F19" s="74">
        <f>'12 дней с 12 до 18 лет'!F85</f>
        <v>6.4</v>
      </c>
      <c r="G19" s="74">
        <f>'12 дней с 12 до 18 лет'!G85</f>
        <v>26.8</v>
      </c>
      <c r="H19" s="74" t="e">
        <f>'12 дней с 12 до 18 лет'!#REF!</f>
        <v>#REF!</v>
      </c>
      <c r="I19" s="74" t="e">
        <f>'12 дней с 12 до 18 лет'!#REF!</f>
        <v>#REF!</v>
      </c>
      <c r="J19" s="74" t="e">
        <f>'12 дней с 12 до 18 лет'!#REF!</f>
        <v>#REF!</v>
      </c>
      <c r="K19" s="74" t="e">
        <f>'12 дней с 12 до 18 лет'!#REF!</f>
        <v>#REF!</v>
      </c>
      <c r="L19" s="74" t="e">
        <f>'12 дней с 12 до 18 лет'!#REF!</f>
        <v>#REF!</v>
      </c>
      <c r="M19" s="74" t="e">
        <f>'12 дней с 12 до 18 лет'!#REF!</f>
        <v>#REF!</v>
      </c>
      <c r="N19" s="74" t="e">
        <f>'12 дней с 12 до 18 лет'!#REF!</f>
        <v>#REF!</v>
      </c>
      <c r="O19" s="74" t="e">
        <f>'12 дней с 12 до 18 лет'!#REF!</f>
        <v>#REF!</v>
      </c>
      <c r="AA19" s="67"/>
    </row>
    <row r="20" spans="1:27" s="66" customFormat="1" ht="16.5" customHeight="1" x14ac:dyDescent="0.25">
      <c r="A20" s="417"/>
      <c r="B20" s="72" t="s">
        <v>127</v>
      </c>
      <c r="C20" s="74" t="e">
        <f>'12 дней с 12 до 18 лет'!#REF!</f>
        <v>#REF!</v>
      </c>
      <c r="D20" s="74" t="e">
        <f>'12 дней с 12 до 18 лет'!#REF!</f>
        <v>#REF!</v>
      </c>
      <c r="E20" s="74" t="e">
        <f>'12 дней с 12 до 18 лет'!#REF!</f>
        <v>#REF!</v>
      </c>
      <c r="F20" s="74" t="e">
        <f>'12 дней с 12 до 18 лет'!#REF!</f>
        <v>#REF!</v>
      </c>
      <c r="G20" s="74" t="e">
        <f>'12 дней с 12 до 18 лет'!#REF!</f>
        <v>#REF!</v>
      </c>
      <c r="H20" s="74" t="e">
        <f>'12 дней с 12 до 18 лет'!#REF!</f>
        <v>#REF!</v>
      </c>
      <c r="I20" s="74" t="e">
        <f>'12 дней с 12 до 18 лет'!#REF!</f>
        <v>#REF!</v>
      </c>
      <c r="J20" s="74" t="e">
        <f>'12 дней с 12 до 18 лет'!#REF!</f>
        <v>#REF!</v>
      </c>
      <c r="K20" s="74" t="e">
        <f>'12 дней с 12 до 18 лет'!#REF!</f>
        <v>#REF!</v>
      </c>
      <c r="L20" s="74" t="e">
        <f>'12 дней с 12 до 18 лет'!#REF!</f>
        <v>#REF!</v>
      </c>
      <c r="M20" s="74" t="e">
        <f>'12 дней с 12 до 18 лет'!#REF!</f>
        <v>#REF!</v>
      </c>
      <c r="N20" s="74" t="e">
        <f>'12 дней с 12 до 18 лет'!#REF!</f>
        <v>#REF!</v>
      </c>
      <c r="O20" s="74" t="e">
        <f>'12 дней с 12 до 18 лет'!#REF!</f>
        <v>#REF!</v>
      </c>
      <c r="AA20" s="67"/>
    </row>
    <row r="21" spans="1:27" s="66" customFormat="1" ht="16.5" customHeight="1" x14ac:dyDescent="0.25">
      <c r="A21" s="418"/>
      <c r="B21" s="107" t="s">
        <v>1034</v>
      </c>
      <c r="C21" s="278" t="e">
        <f>'12 дней с 12 до 18 лет'!#REF!</f>
        <v>#REF!</v>
      </c>
      <c r="D21" s="74" t="e">
        <f>'12 дней с 12 до 18 лет'!#REF!</f>
        <v>#REF!</v>
      </c>
      <c r="E21" s="74" t="e">
        <f>'12 дней с 12 до 18 лет'!#REF!</f>
        <v>#REF!</v>
      </c>
      <c r="F21" s="74" t="e">
        <f>'12 дней с 12 до 18 лет'!#REF!</f>
        <v>#REF!</v>
      </c>
      <c r="G21" s="74" t="e">
        <f>'12 дней с 12 до 18 лет'!#REF!</f>
        <v>#REF!</v>
      </c>
      <c r="H21" s="74" t="e">
        <f>'12 дней с 12 до 18 лет'!#REF!</f>
        <v>#REF!</v>
      </c>
      <c r="I21" s="74" t="e">
        <f>'12 дней с 12 до 18 лет'!#REF!</f>
        <v>#REF!</v>
      </c>
      <c r="J21" s="74" t="e">
        <f>'12 дней с 12 до 18 лет'!#REF!</f>
        <v>#REF!</v>
      </c>
      <c r="K21" s="74" t="e">
        <f>'12 дней с 12 до 18 лет'!#REF!</f>
        <v>#REF!</v>
      </c>
      <c r="L21" s="74" t="e">
        <f>'12 дней с 12 до 18 лет'!#REF!</f>
        <v>#REF!</v>
      </c>
      <c r="M21" s="74" t="e">
        <f>'12 дней с 12 до 18 лет'!#REF!</f>
        <v>#REF!</v>
      </c>
      <c r="N21" s="74" t="e">
        <f>'12 дней с 12 до 18 лет'!#REF!</f>
        <v>#REF!</v>
      </c>
      <c r="O21" s="74" t="e">
        <f>'12 дней с 12 до 18 лет'!#REF!</f>
        <v>#REF!</v>
      </c>
      <c r="AA21" s="67"/>
    </row>
    <row r="22" spans="1:27" s="66" customFormat="1" ht="16.5" customHeight="1" x14ac:dyDescent="0.25">
      <c r="A22" s="89"/>
      <c r="B22" s="76" t="s">
        <v>133</v>
      </c>
      <c r="C22" s="73"/>
      <c r="D22" s="77" t="e">
        <f>SUM(D19:D21)</f>
        <v>#REF!</v>
      </c>
      <c r="E22" s="77" t="e">
        <f t="shared" ref="E22:O22" si="7">SUM(E19:E21)</f>
        <v>#REF!</v>
      </c>
      <c r="F22" s="77" t="e">
        <f t="shared" si="7"/>
        <v>#REF!</v>
      </c>
      <c r="G22" s="77" t="e">
        <f t="shared" si="7"/>
        <v>#REF!</v>
      </c>
      <c r="H22" s="77" t="e">
        <f t="shared" si="7"/>
        <v>#REF!</v>
      </c>
      <c r="I22" s="77" t="e">
        <f t="shared" si="7"/>
        <v>#REF!</v>
      </c>
      <c r="J22" s="77" t="e">
        <f t="shared" si="7"/>
        <v>#REF!</v>
      </c>
      <c r="K22" s="77" t="e">
        <f t="shared" si="7"/>
        <v>#REF!</v>
      </c>
      <c r="L22" s="77" t="e">
        <f t="shared" si="7"/>
        <v>#REF!</v>
      </c>
      <c r="M22" s="77" t="e">
        <f t="shared" si="7"/>
        <v>#REF!</v>
      </c>
      <c r="N22" s="77" t="e">
        <f t="shared" si="7"/>
        <v>#REF!</v>
      </c>
      <c r="O22" s="77" t="e">
        <f t="shared" si="7"/>
        <v>#REF!</v>
      </c>
      <c r="AA22" s="67"/>
    </row>
    <row r="23" spans="1:27" s="66" customFormat="1" ht="16.5" customHeight="1" x14ac:dyDescent="0.25">
      <c r="A23" s="78"/>
      <c r="B23" s="79"/>
      <c r="C23" s="73"/>
      <c r="D23" s="74"/>
      <c r="E23" s="74"/>
      <c r="F23" s="74"/>
      <c r="G23" s="74"/>
      <c r="H23" s="74"/>
      <c r="I23" s="74"/>
      <c r="J23" s="74"/>
      <c r="K23" s="74"/>
      <c r="L23" s="74"/>
      <c r="M23" s="74"/>
      <c r="N23" s="74"/>
      <c r="O23" s="74"/>
      <c r="AA23" s="67"/>
    </row>
    <row r="24" spans="1:27" s="66" customFormat="1" ht="16.5" customHeight="1" x14ac:dyDescent="0.25">
      <c r="A24" s="416">
        <v>5</v>
      </c>
      <c r="B24" s="72" t="s">
        <v>126</v>
      </c>
      <c r="C24" s="74">
        <f>'12 дней с 12 до 18 лет'!C109</f>
        <v>620</v>
      </c>
      <c r="D24" s="74">
        <f>'12 дней с 12 до 18 лет'!D109</f>
        <v>23.709999999999997</v>
      </c>
      <c r="E24" s="74">
        <f>'12 дней с 12 до 18 лет'!E109</f>
        <v>25.23</v>
      </c>
      <c r="F24" s="74">
        <f>'12 дней с 12 до 18 лет'!F109</f>
        <v>97.080000000000013</v>
      </c>
      <c r="G24" s="74">
        <f>'12 дней с 12 до 18 лет'!G109</f>
        <v>637.09</v>
      </c>
      <c r="H24" s="74" t="e">
        <f>'12 дней с 12 до 18 лет'!#REF!</f>
        <v>#REF!</v>
      </c>
      <c r="I24" s="74" t="e">
        <f>'12 дней с 12 до 18 лет'!#REF!</f>
        <v>#REF!</v>
      </c>
      <c r="J24" s="74" t="e">
        <f>'12 дней с 12 до 18 лет'!#REF!</f>
        <v>#REF!</v>
      </c>
      <c r="K24" s="74" t="e">
        <f>'12 дней с 12 до 18 лет'!#REF!</f>
        <v>#REF!</v>
      </c>
      <c r="L24" s="74" t="e">
        <f>'12 дней с 12 до 18 лет'!#REF!</f>
        <v>#REF!</v>
      </c>
      <c r="M24" s="74" t="e">
        <f>'12 дней с 12 до 18 лет'!#REF!</f>
        <v>#REF!</v>
      </c>
      <c r="N24" s="74" t="e">
        <f>'12 дней с 12 до 18 лет'!#REF!</f>
        <v>#REF!</v>
      </c>
      <c r="O24" s="74" t="e">
        <f>'12 дней с 12 до 18 лет'!#REF!</f>
        <v>#REF!</v>
      </c>
      <c r="AA24" s="67"/>
    </row>
    <row r="25" spans="1:27" s="66" customFormat="1" ht="16.5" customHeight="1" x14ac:dyDescent="0.25">
      <c r="A25" s="417"/>
      <c r="B25" s="72" t="s">
        <v>127</v>
      </c>
      <c r="C25" s="74" t="e">
        <f>'12 дней с 12 до 18 лет'!#REF!</f>
        <v>#REF!</v>
      </c>
      <c r="D25" s="74" t="e">
        <f>'12 дней с 12 до 18 лет'!#REF!</f>
        <v>#REF!</v>
      </c>
      <c r="E25" s="74" t="e">
        <f>'12 дней с 12 до 18 лет'!#REF!</f>
        <v>#REF!</v>
      </c>
      <c r="F25" s="74" t="e">
        <f>'12 дней с 12 до 18 лет'!#REF!</f>
        <v>#REF!</v>
      </c>
      <c r="G25" s="74" t="e">
        <f>'12 дней с 12 до 18 лет'!#REF!</f>
        <v>#REF!</v>
      </c>
      <c r="H25" s="74" t="e">
        <f>'12 дней с 12 до 18 лет'!#REF!</f>
        <v>#REF!</v>
      </c>
      <c r="I25" s="74" t="e">
        <f>'12 дней с 12 до 18 лет'!#REF!</f>
        <v>#REF!</v>
      </c>
      <c r="J25" s="74" t="e">
        <f>'12 дней с 12 до 18 лет'!#REF!</f>
        <v>#REF!</v>
      </c>
      <c r="K25" s="74" t="e">
        <f>'12 дней с 12 до 18 лет'!#REF!</f>
        <v>#REF!</v>
      </c>
      <c r="L25" s="74" t="e">
        <f>'12 дней с 12 до 18 лет'!#REF!</f>
        <v>#REF!</v>
      </c>
      <c r="M25" s="74" t="e">
        <f>'12 дней с 12 до 18 лет'!#REF!</f>
        <v>#REF!</v>
      </c>
      <c r="N25" s="74" t="e">
        <f>'12 дней с 12 до 18 лет'!#REF!</f>
        <v>#REF!</v>
      </c>
      <c r="O25" s="74" t="e">
        <f>'12 дней с 12 до 18 лет'!#REF!</f>
        <v>#REF!</v>
      </c>
      <c r="AA25" s="67"/>
    </row>
    <row r="26" spans="1:27" s="66" customFormat="1" ht="16.5" customHeight="1" x14ac:dyDescent="0.25">
      <c r="A26" s="418"/>
      <c r="B26" s="107" t="s">
        <v>1034</v>
      </c>
      <c r="C26" s="278" t="e">
        <f>'12 дней с 12 до 18 лет'!#REF!</f>
        <v>#REF!</v>
      </c>
      <c r="D26" s="74" t="e">
        <f>'12 дней с 12 до 18 лет'!#REF!</f>
        <v>#REF!</v>
      </c>
      <c r="E26" s="74" t="e">
        <f>'12 дней с 12 до 18 лет'!#REF!</f>
        <v>#REF!</v>
      </c>
      <c r="F26" s="74" t="e">
        <f>'12 дней с 12 до 18 лет'!#REF!</f>
        <v>#REF!</v>
      </c>
      <c r="G26" s="74" t="e">
        <f>'12 дней с 12 до 18 лет'!#REF!</f>
        <v>#REF!</v>
      </c>
      <c r="H26" s="74" t="e">
        <f>'12 дней с 12 до 18 лет'!#REF!</f>
        <v>#REF!</v>
      </c>
      <c r="I26" s="74">
        <f>'12 дней с 12 до 18 лет'!H102</f>
        <v>0</v>
      </c>
      <c r="J26" s="74">
        <f>'12 дней с 12 до 18 лет'!I102</f>
        <v>0</v>
      </c>
      <c r="K26" s="74">
        <f>'12 дней с 12 до 18 лет'!J102</f>
        <v>0</v>
      </c>
      <c r="L26" s="74">
        <f>'12 дней с 12 до 18 лет'!K102</f>
        <v>0</v>
      </c>
      <c r="M26" s="74">
        <f>'12 дней с 12 до 18 лет'!L102</f>
        <v>0</v>
      </c>
      <c r="N26" s="74">
        <f>'12 дней с 12 до 18 лет'!M102</f>
        <v>0</v>
      </c>
      <c r="O26" s="74">
        <f>'12 дней с 12 до 18 лет'!N102</f>
        <v>0</v>
      </c>
      <c r="AA26" s="67"/>
    </row>
    <row r="27" spans="1:27" s="66" customFormat="1" ht="17.25" customHeight="1" x14ac:dyDescent="0.25">
      <c r="A27" s="89"/>
      <c r="B27" s="76" t="s">
        <v>134</v>
      </c>
      <c r="C27" s="73"/>
      <c r="D27" s="77" t="e">
        <f>SUM(D24:D26)</f>
        <v>#REF!</v>
      </c>
      <c r="E27" s="77" t="e">
        <f t="shared" ref="E27:O27" si="8">SUM(E24:E26)</f>
        <v>#REF!</v>
      </c>
      <c r="F27" s="77" t="e">
        <f t="shared" si="8"/>
        <v>#REF!</v>
      </c>
      <c r="G27" s="77" t="e">
        <f t="shared" si="8"/>
        <v>#REF!</v>
      </c>
      <c r="H27" s="77" t="e">
        <f t="shared" si="8"/>
        <v>#REF!</v>
      </c>
      <c r="I27" s="77" t="e">
        <f t="shared" si="8"/>
        <v>#REF!</v>
      </c>
      <c r="J27" s="77" t="e">
        <f t="shared" si="8"/>
        <v>#REF!</v>
      </c>
      <c r="K27" s="77" t="e">
        <f t="shared" si="8"/>
        <v>#REF!</v>
      </c>
      <c r="L27" s="77" t="e">
        <f t="shared" si="8"/>
        <v>#REF!</v>
      </c>
      <c r="M27" s="77" t="e">
        <f t="shared" si="8"/>
        <v>#REF!</v>
      </c>
      <c r="N27" s="77" t="e">
        <f t="shared" si="8"/>
        <v>#REF!</v>
      </c>
      <c r="O27" s="77" t="e">
        <f t="shared" si="8"/>
        <v>#REF!</v>
      </c>
      <c r="AA27" s="67"/>
    </row>
    <row r="28" spans="1:27" s="66" customFormat="1" ht="16.5" customHeight="1" x14ac:dyDescent="0.25">
      <c r="A28" s="78"/>
      <c r="B28" s="79"/>
      <c r="C28" s="73"/>
      <c r="D28" s="74"/>
      <c r="E28" s="74"/>
      <c r="F28" s="74"/>
      <c r="G28" s="74"/>
      <c r="H28" s="74"/>
      <c r="I28" s="74"/>
      <c r="J28" s="74"/>
      <c r="K28" s="74"/>
      <c r="L28" s="74"/>
      <c r="M28" s="74"/>
      <c r="N28" s="74"/>
      <c r="O28" s="74"/>
      <c r="AA28" s="67"/>
    </row>
    <row r="29" spans="1:27" s="66" customFormat="1" ht="16.5" customHeight="1" x14ac:dyDescent="0.25">
      <c r="A29" s="416">
        <v>6</v>
      </c>
      <c r="B29" s="72" t="s">
        <v>126</v>
      </c>
      <c r="C29" s="74" t="e">
        <f>'12 дней с 12 до 18 лет'!#REF!</f>
        <v>#REF!</v>
      </c>
      <c r="D29" s="74" t="e">
        <f>'12 дней с 12 до 18 лет'!#REF!</f>
        <v>#REF!</v>
      </c>
      <c r="E29" s="74" t="e">
        <f>'12 дней с 12 до 18 лет'!#REF!</f>
        <v>#REF!</v>
      </c>
      <c r="F29" s="74" t="e">
        <f>'12 дней с 12 до 18 лет'!#REF!</f>
        <v>#REF!</v>
      </c>
      <c r="G29" s="74" t="e">
        <f>'12 дней с 12 до 18 лет'!#REF!</f>
        <v>#REF!</v>
      </c>
      <c r="H29" s="74" t="e">
        <f>'12 дней с 12 до 18 лет'!#REF!</f>
        <v>#REF!</v>
      </c>
      <c r="I29" s="74" t="e">
        <f>'12 дней с 12 до 18 лет'!#REF!</f>
        <v>#REF!</v>
      </c>
      <c r="J29" s="74" t="e">
        <f>'12 дней с 12 до 18 лет'!#REF!</f>
        <v>#REF!</v>
      </c>
      <c r="K29" s="74" t="e">
        <f>'12 дней с 12 до 18 лет'!#REF!</f>
        <v>#REF!</v>
      </c>
      <c r="L29" s="74" t="e">
        <f>'12 дней с 12 до 18 лет'!#REF!</f>
        <v>#REF!</v>
      </c>
      <c r="M29" s="74" t="e">
        <f>'12 дней с 12 до 18 лет'!#REF!</f>
        <v>#REF!</v>
      </c>
      <c r="N29" s="74" t="e">
        <f>'12 дней с 12 до 18 лет'!#REF!</f>
        <v>#REF!</v>
      </c>
      <c r="O29" s="74" t="e">
        <f>'12 дней с 12 до 18 лет'!#REF!</f>
        <v>#REF!</v>
      </c>
      <c r="AA29" s="67"/>
    </row>
    <row r="30" spans="1:27" s="66" customFormat="1" ht="17.25" customHeight="1" x14ac:dyDescent="0.25">
      <c r="A30" s="417"/>
      <c r="B30" s="72" t="s">
        <v>127</v>
      </c>
      <c r="C30" s="74" t="e">
        <f>'12 дней с 12 до 18 лет'!#REF!</f>
        <v>#REF!</v>
      </c>
      <c r="D30" s="74" t="e">
        <f>'12 дней с 12 до 18 лет'!#REF!</f>
        <v>#REF!</v>
      </c>
      <c r="E30" s="74" t="e">
        <f>'12 дней с 12 до 18 лет'!#REF!</f>
        <v>#REF!</v>
      </c>
      <c r="F30" s="74" t="e">
        <f>'12 дней с 12 до 18 лет'!#REF!</f>
        <v>#REF!</v>
      </c>
      <c r="G30" s="74" t="e">
        <f>'12 дней с 12 до 18 лет'!#REF!</f>
        <v>#REF!</v>
      </c>
      <c r="H30" s="74" t="e">
        <f>'12 дней с 12 до 18 лет'!#REF!</f>
        <v>#REF!</v>
      </c>
      <c r="I30" s="74" t="e">
        <f>'12 дней с 12 до 18 лет'!#REF!</f>
        <v>#REF!</v>
      </c>
      <c r="J30" s="74" t="e">
        <f>'12 дней с 12 до 18 лет'!#REF!</f>
        <v>#REF!</v>
      </c>
      <c r="K30" s="74" t="e">
        <f>'12 дней с 12 до 18 лет'!#REF!</f>
        <v>#REF!</v>
      </c>
      <c r="L30" s="74" t="e">
        <f>'12 дней с 12 до 18 лет'!#REF!</f>
        <v>#REF!</v>
      </c>
      <c r="M30" s="74" t="e">
        <f>'12 дней с 12 до 18 лет'!#REF!</f>
        <v>#REF!</v>
      </c>
      <c r="N30" s="74" t="e">
        <f>'12 дней с 12 до 18 лет'!#REF!</f>
        <v>#REF!</v>
      </c>
      <c r="O30" s="74" t="e">
        <f>'12 дней с 12 до 18 лет'!#REF!</f>
        <v>#REF!</v>
      </c>
      <c r="AA30" s="67"/>
    </row>
    <row r="31" spans="1:27" s="66" customFormat="1" ht="16.5" customHeight="1" x14ac:dyDescent="0.25">
      <c r="A31" s="418"/>
      <c r="B31" s="107" t="s">
        <v>1034</v>
      </c>
      <c r="C31" s="278" t="e">
        <f>'12 дней с 12 до 18 лет'!#REF!</f>
        <v>#REF!</v>
      </c>
      <c r="D31" s="74" t="e">
        <f>'12 дней с 12 до 18 лет'!#REF!</f>
        <v>#REF!</v>
      </c>
      <c r="E31" s="74" t="e">
        <f>'12 дней с 12 до 18 лет'!#REF!</f>
        <v>#REF!</v>
      </c>
      <c r="F31" s="74" t="e">
        <f>'12 дней с 12 до 18 лет'!#REF!</f>
        <v>#REF!</v>
      </c>
      <c r="G31" s="74" t="e">
        <f>'12 дней с 12 до 18 лет'!#REF!</f>
        <v>#REF!</v>
      </c>
      <c r="H31" s="74" t="e">
        <f>'12 дней с 12 до 18 лет'!#REF!</f>
        <v>#REF!</v>
      </c>
      <c r="I31" s="74" t="e">
        <f>'12 дней с 12 до 18 лет'!#REF!</f>
        <v>#REF!</v>
      </c>
      <c r="J31" s="74" t="e">
        <f>'12 дней с 12 до 18 лет'!#REF!</f>
        <v>#REF!</v>
      </c>
      <c r="K31" s="74" t="e">
        <f>'12 дней с 12 до 18 лет'!#REF!</f>
        <v>#REF!</v>
      </c>
      <c r="L31" s="74" t="e">
        <f>'12 дней с 12 до 18 лет'!#REF!</f>
        <v>#REF!</v>
      </c>
      <c r="M31" s="74" t="e">
        <f>'12 дней с 12 до 18 лет'!#REF!</f>
        <v>#REF!</v>
      </c>
      <c r="N31" s="74" t="e">
        <f>'12 дней с 12 до 18 лет'!#REF!</f>
        <v>#REF!</v>
      </c>
      <c r="O31" s="74" t="e">
        <f>'12 дней с 12 до 18 лет'!#REF!</f>
        <v>#REF!</v>
      </c>
      <c r="AA31" s="67"/>
    </row>
    <row r="32" spans="1:27" s="66" customFormat="1" ht="16.5" customHeight="1" x14ac:dyDescent="0.25">
      <c r="A32" s="89"/>
      <c r="B32" s="76" t="s">
        <v>135</v>
      </c>
      <c r="C32" s="73"/>
      <c r="D32" s="77" t="e">
        <f>SUM(D29:D31)</f>
        <v>#REF!</v>
      </c>
      <c r="E32" s="77" t="e">
        <f t="shared" ref="E32:O32" si="9">SUM(E29:E31)</f>
        <v>#REF!</v>
      </c>
      <c r="F32" s="77" t="e">
        <f t="shared" si="9"/>
        <v>#REF!</v>
      </c>
      <c r="G32" s="77" t="e">
        <f t="shared" si="9"/>
        <v>#REF!</v>
      </c>
      <c r="H32" s="77" t="e">
        <f t="shared" si="9"/>
        <v>#REF!</v>
      </c>
      <c r="I32" s="77" t="e">
        <f t="shared" si="9"/>
        <v>#REF!</v>
      </c>
      <c r="J32" s="77" t="e">
        <f t="shared" si="9"/>
        <v>#REF!</v>
      </c>
      <c r="K32" s="77" t="e">
        <f t="shared" si="9"/>
        <v>#REF!</v>
      </c>
      <c r="L32" s="77" t="e">
        <f t="shared" si="9"/>
        <v>#REF!</v>
      </c>
      <c r="M32" s="77" t="e">
        <f t="shared" si="9"/>
        <v>#REF!</v>
      </c>
      <c r="N32" s="77" t="e">
        <f t="shared" si="9"/>
        <v>#REF!</v>
      </c>
      <c r="O32" s="77" t="e">
        <f t="shared" si="9"/>
        <v>#REF!</v>
      </c>
      <c r="AA32" s="67"/>
    </row>
    <row r="33" spans="1:27" s="66" customFormat="1" ht="16.5" customHeight="1" x14ac:dyDescent="0.25">
      <c r="A33" s="78"/>
      <c r="B33" s="79"/>
      <c r="C33" s="73"/>
      <c r="D33" s="74"/>
      <c r="E33" s="74"/>
      <c r="F33" s="74"/>
      <c r="G33" s="74"/>
      <c r="H33" s="74"/>
      <c r="I33" s="74"/>
      <c r="J33" s="74"/>
      <c r="K33" s="74"/>
      <c r="L33" s="74"/>
      <c r="M33" s="74"/>
      <c r="N33" s="74"/>
      <c r="O33" s="74"/>
      <c r="AA33" s="67"/>
    </row>
    <row r="34" spans="1:27" s="66" customFormat="1" ht="16.5" customHeight="1" x14ac:dyDescent="0.25">
      <c r="A34" s="416">
        <v>7</v>
      </c>
      <c r="B34" s="72" t="s">
        <v>126</v>
      </c>
      <c r="C34" s="74">
        <f>'12 дней с 12 до 18 лет'!C151</f>
        <v>705</v>
      </c>
      <c r="D34" s="74">
        <f>'12 дней с 12 до 18 лет'!D151</f>
        <v>22.689999999999998</v>
      </c>
      <c r="E34" s="74">
        <f>'12 дней с 12 до 18 лет'!E151</f>
        <v>22.689999999999998</v>
      </c>
      <c r="F34" s="74">
        <f>'12 дней с 12 до 18 лет'!F151</f>
        <v>83.98</v>
      </c>
      <c r="G34" s="74">
        <f>'12 дней с 12 до 18 лет'!G151</f>
        <v>682.24</v>
      </c>
      <c r="H34" s="74" t="e">
        <f>'12 дней с 12 до 18 лет'!#REF!</f>
        <v>#REF!</v>
      </c>
      <c r="I34" s="74" t="e">
        <f>'12 дней с 12 до 18 лет'!#REF!</f>
        <v>#REF!</v>
      </c>
      <c r="J34" s="74" t="e">
        <f>'12 дней с 12 до 18 лет'!#REF!</f>
        <v>#REF!</v>
      </c>
      <c r="K34" s="74" t="e">
        <f>'12 дней с 12 до 18 лет'!#REF!</f>
        <v>#REF!</v>
      </c>
      <c r="L34" s="74" t="e">
        <f>'12 дней с 12 до 18 лет'!#REF!</f>
        <v>#REF!</v>
      </c>
      <c r="M34" s="74" t="e">
        <f>'12 дней с 12 до 18 лет'!#REF!</f>
        <v>#REF!</v>
      </c>
      <c r="N34" s="74" t="e">
        <f>'12 дней с 12 до 18 лет'!#REF!</f>
        <v>#REF!</v>
      </c>
      <c r="O34" s="74" t="e">
        <f>'12 дней с 12 до 18 лет'!#REF!</f>
        <v>#REF!</v>
      </c>
      <c r="AA34" s="67"/>
    </row>
    <row r="35" spans="1:27" s="66" customFormat="1" ht="16.5" customHeight="1" x14ac:dyDescent="0.25">
      <c r="A35" s="417"/>
      <c r="B35" s="72" t="s">
        <v>127</v>
      </c>
      <c r="C35" s="74" t="e">
        <f>'12 дней с 12 до 18 лет'!#REF!</f>
        <v>#REF!</v>
      </c>
      <c r="D35" s="74" t="e">
        <f>'12 дней с 12 до 18 лет'!#REF!</f>
        <v>#REF!</v>
      </c>
      <c r="E35" s="74" t="e">
        <f>'12 дней с 12 до 18 лет'!#REF!</f>
        <v>#REF!</v>
      </c>
      <c r="F35" s="74" t="e">
        <f>'12 дней с 12 до 18 лет'!#REF!</f>
        <v>#REF!</v>
      </c>
      <c r="G35" s="74" t="e">
        <f>'12 дней с 12 до 18 лет'!#REF!</f>
        <v>#REF!</v>
      </c>
      <c r="H35" s="74" t="e">
        <f>'12 дней с 12 до 18 лет'!#REF!</f>
        <v>#REF!</v>
      </c>
      <c r="I35" s="74" t="e">
        <f>'12 дней с 12 до 18 лет'!#REF!</f>
        <v>#REF!</v>
      </c>
      <c r="J35" s="74" t="e">
        <f>'12 дней с 12 до 18 лет'!#REF!</f>
        <v>#REF!</v>
      </c>
      <c r="K35" s="74" t="e">
        <f>'12 дней с 12 до 18 лет'!#REF!</f>
        <v>#REF!</v>
      </c>
      <c r="L35" s="74" t="e">
        <f>'12 дней с 12 до 18 лет'!#REF!</f>
        <v>#REF!</v>
      </c>
      <c r="M35" s="74" t="e">
        <f>'12 дней с 12 до 18 лет'!#REF!</f>
        <v>#REF!</v>
      </c>
      <c r="N35" s="74" t="e">
        <f>'12 дней с 12 до 18 лет'!#REF!</f>
        <v>#REF!</v>
      </c>
      <c r="O35" s="74" t="e">
        <f>'12 дней с 12 до 18 лет'!#REF!</f>
        <v>#REF!</v>
      </c>
      <c r="AA35" s="67"/>
    </row>
    <row r="36" spans="1:27" s="66" customFormat="1" ht="16.5" customHeight="1" x14ac:dyDescent="0.25">
      <c r="A36" s="418"/>
      <c r="B36" s="107" t="s">
        <v>1034</v>
      </c>
      <c r="C36" s="278" t="e">
        <f>'12 дней с 12 до 18 лет'!#REF!</f>
        <v>#REF!</v>
      </c>
      <c r="D36" s="74" t="e">
        <f>'12 дней с 12 до 18 лет'!#REF!</f>
        <v>#REF!</v>
      </c>
      <c r="E36" s="74" t="e">
        <f>'12 дней с 12 до 18 лет'!#REF!</f>
        <v>#REF!</v>
      </c>
      <c r="F36" s="74" t="e">
        <f>'12 дней с 12 до 18 лет'!#REF!</f>
        <v>#REF!</v>
      </c>
      <c r="G36" s="74" t="e">
        <f>'12 дней с 12 до 18 лет'!#REF!</f>
        <v>#REF!</v>
      </c>
      <c r="H36" s="74" t="e">
        <f>'12 дней с 12 до 18 лет'!#REF!</f>
        <v>#REF!</v>
      </c>
      <c r="I36" s="74">
        <f>'12 дней с 12 до 18 лет'!H146</f>
        <v>0</v>
      </c>
      <c r="J36" s="74">
        <f>'12 дней с 12 до 18 лет'!I146</f>
        <v>0</v>
      </c>
      <c r="K36" s="74">
        <f>'12 дней с 12 до 18 лет'!J146</f>
        <v>0</v>
      </c>
      <c r="L36" s="74">
        <f>'12 дней с 12 до 18 лет'!K146</f>
        <v>0</v>
      </c>
      <c r="M36" s="74">
        <f>'12 дней с 12 до 18 лет'!L146</f>
        <v>0</v>
      </c>
      <c r="N36" s="74">
        <f>'12 дней с 12 до 18 лет'!M146</f>
        <v>0</v>
      </c>
      <c r="O36" s="74">
        <f>'12 дней с 12 до 18 лет'!N146</f>
        <v>0</v>
      </c>
      <c r="AA36" s="67"/>
    </row>
    <row r="37" spans="1:27" s="66" customFormat="1" ht="16.5" customHeight="1" x14ac:dyDescent="0.25">
      <c r="A37" s="89"/>
      <c r="B37" s="76" t="s">
        <v>136</v>
      </c>
      <c r="C37" s="73"/>
      <c r="D37" s="77" t="e">
        <f>SUM(D34:D36)</f>
        <v>#REF!</v>
      </c>
      <c r="E37" s="77" t="e">
        <f t="shared" ref="E37:O37" si="10">SUM(E34:E36)</f>
        <v>#REF!</v>
      </c>
      <c r="F37" s="77" t="e">
        <f t="shared" si="10"/>
        <v>#REF!</v>
      </c>
      <c r="G37" s="77" t="e">
        <f t="shared" si="10"/>
        <v>#REF!</v>
      </c>
      <c r="H37" s="77" t="e">
        <f t="shared" si="10"/>
        <v>#REF!</v>
      </c>
      <c r="I37" s="77" t="e">
        <f t="shared" si="10"/>
        <v>#REF!</v>
      </c>
      <c r="J37" s="77" t="e">
        <f t="shared" si="10"/>
        <v>#REF!</v>
      </c>
      <c r="K37" s="77" t="e">
        <f t="shared" si="10"/>
        <v>#REF!</v>
      </c>
      <c r="L37" s="77" t="e">
        <f t="shared" si="10"/>
        <v>#REF!</v>
      </c>
      <c r="M37" s="77" t="e">
        <f t="shared" si="10"/>
        <v>#REF!</v>
      </c>
      <c r="N37" s="77" t="e">
        <f t="shared" si="10"/>
        <v>#REF!</v>
      </c>
      <c r="O37" s="77" t="e">
        <f t="shared" si="10"/>
        <v>#REF!</v>
      </c>
      <c r="AA37" s="67"/>
    </row>
    <row r="38" spans="1:27" s="66" customFormat="1" ht="16.5" customHeight="1" x14ac:dyDescent="0.25">
      <c r="A38" s="78"/>
      <c r="B38" s="79"/>
      <c r="C38" s="73"/>
      <c r="D38" s="74"/>
      <c r="E38" s="74"/>
      <c r="F38" s="74"/>
      <c r="G38" s="74"/>
      <c r="H38" s="74"/>
      <c r="I38" s="74"/>
      <c r="J38" s="74"/>
      <c r="K38" s="74"/>
      <c r="L38" s="74"/>
      <c r="M38" s="74"/>
      <c r="N38" s="74"/>
      <c r="O38" s="74"/>
      <c r="AA38" s="67"/>
    </row>
    <row r="39" spans="1:27" s="66" customFormat="1" ht="16.5" customHeight="1" x14ac:dyDescent="0.25">
      <c r="A39" s="416">
        <v>8</v>
      </c>
      <c r="B39" s="72" t="s">
        <v>126</v>
      </c>
      <c r="C39" s="74">
        <f>'12 дней с 12 до 18 лет'!C170</f>
        <v>620</v>
      </c>
      <c r="D39" s="74">
        <f>'12 дней с 12 до 18 лет'!D170</f>
        <v>19.95</v>
      </c>
      <c r="E39" s="74">
        <f>'12 дней с 12 до 18 лет'!E170</f>
        <v>18.03</v>
      </c>
      <c r="F39" s="74">
        <f>'12 дней с 12 до 18 лет'!F170</f>
        <v>80.789999999999992</v>
      </c>
      <c r="G39" s="74">
        <f>'12 дней с 12 до 18 лет'!G170</f>
        <v>604.98</v>
      </c>
      <c r="H39" s="74" t="e">
        <f>'12 дней с 12 до 18 лет'!#REF!</f>
        <v>#REF!</v>
      </c>
      <c r="I39" s="74" t="e">
        <f>'12 дней с 12 до 18 лет'!#REF!</f>
        <v>#REF!</v>
      </c>
      <c r="J39" s="74" t="e">
        <f>'12 дней с 12 до 18 лет'!#REF!</f>
        <v>#REF!</v>
      </c>
      <c r="K39" s="74" t="e">
        <f>'12 дней с 12 до 18 лет'!#REF!</f>
        <v>#REF!</v>
      </c>
      <c r="L39" s="74" t="e">
        <f>'12 дней с 12 до 18 лет'!#REF!</f>
        <v>#REF!</v>
      </c>
      <c r="M39" s="74" t="e">
        <f>'12 дней с 12 до 18 лет'!#REF!</f>
        <v>#REF!</v>
      </c>
      <c r="N39" s="74" t="e">
        <f>'12 дней с 12 до 18 лет'!#REF!</f>
        <v>#REF!</v>
      </c>
      <c r="O39" s="74" t="e">
        <f>'12 дней с 12 до 18 лет'!#REF!</f>
        <v>#REF!</v>
      </c>
      <c r="AA39" s="67"/>
    </row>
    <row r="40" spans="1:27" s="66" customFormat="1" ht="16.5" customHeight="1" x14ac:dyDescent="0.25">
      <c r="A40" s="417"/>
      <c r="B40" s="72" t="s">
        <v>127</v>
      </c>
      <c r="C40" s="74" t="e">
        <f>'12 дней с 12 до 18 лет'!#REF!</f>
        <v>#REF!</v>
      </c>
      <c r="D40" s="74" t="e">
        <f>'12 дней с 12 до 18 лет'!#REF!</f>
        <v>#REF!</v>
      </c>
      <c r="E40" s="74" t="e">
        <f>'12 дней с 12 до 18 лет'!#REF!</f>
        <v>#REF!</v>
      </c>
      <c r="F40" s="74" t="e">
        <f>'12 дней с 12 до 18 лет'!#REF!</f>
        <v>#REF!</v>
      </c>
      <c r="G40" s="74" t="e">
        <f>'12 дней с 12 до 18 лет'!#REF!</f>
        <v>#REF!</v>
      </c>
      <c r="H40" s="74" t="e">
        <f>'12 дней с 12 до 18 лет'!#REF!</f>
        <v>#REF!</v>
      </c>
      <c r="I40" s="74" t="e">
        <f>'12 дней с 12 до 18 лет'!#REF!</f>
        <v>#REF!</v>
      </c>
      <c r="J40" s="74" t="e">
        <f>'12 дней с 12 до 18 лет'!#REF!</f>
        <v>#REF!</v>
      </c>
      <c r="K40" s="74" t="e">
        <f>'12 дней с 12 до 18 лет'!#REF!</f>
        <v>#REF!</v>
      </c>
      <c r="L40" s="74" t="e">
        <f>'12 дней с 12 до 18 лет'!#REF!</f>
        <v>#REF!</v>
      </c>
      <c r="M40" s="74" t="e">
        <f>'12 дней с 12 до 18 лет'!#REF!</f>
        <v>#REF!</v>
      </c>
      <c r="N40" s="74" t="e">
        <f>'12 дней с 12 до 18 лет'!#REF!</f>
        <v>#REF!</v>
      </c>
      <c r="O40" s="74" t="e">
        <f>'12 дней с 12 до 18 лет'!#REF!</f>
        <v>#REF!</v>
      </c>
      <c r="AA40" s="67"/>
    </row>
    <row r="41" spans="1:27" s="66" customFormat="1" ht="16.5" customHeight="1" x14ac:dyDescent="0.25">
      <c r="A41" s="418"/>
      <c r="B41" s="107" t="s">
        <v>1034</v>
      </c>
      <c r="C41" s="278" t="e">
        <f>'12 дней с 12 до 18 лет'!#REF!</f>
        <v>#REF!</v>
      </c>
      <c r="D41" s="74" t="e">
        <f>'12 дней с 12 до 18 лет'!#REF!</f>
        <v>#REF!</v>
      </c>
      <c r="E41" s="74" t="e">
        <f>'12 дней с 12 до 18 лет'!#REF!</f>
        <v>#REF!</v>
      </c>
      <c r="F41" s="74" t="e">
        <f>'12 дней с 12 до 18 лет'!#REF!</f>
        <v>#REF!</v>
      </c>
      <c r="G41" s="74" t="e">
        <f>'12 дней с 12 до 18 лет'!#REF!</f>
        <v>#REF!</v>
      </c>
      <c r="H41" s="74" t="e">
        <f>'12 дней с 12 до 18 лет'!#REF!</f>
        <v>#REF!</v>
      </c>
      <c r="I41" s="74">
        <f>'12 дней с 12 до 18 лет'!H165</f>
        <v>0</v>
      </c>
      <c r="J41" s="74">
        <f>'12 дней с 12 до 18 лет'!I165</f>
        <v>0</v>
      </c>
      <c r="K41" s="74">
        <f>'12 дней с 12 до 18 лет'!J165</f>
        <v>0</v>
      </c>
      <c r="L41" s="74">
        <f>'12 дней с 12 до 18 лет'!K165</f>
        <v>0</v>
      </c>
      <c r="M41" s="74">
        <f>'12 дней с 12 до 18 лет'!L165</f>
        <v>0</v>
      </c>
      <c r="N41" s="74">
        <f>'12 дней с 12 до 18 лет'!M165</f>
        <v>0</v>
      </c>
      <c r="O41" s="74">
        <f>'12 дней с 12 до 18 лет'!N165</f>
        <v>0</v>
      </c>
      <c r="AA41" s="67"/>
    </row>
    <row r="42" spans="1:27" s="66" customFormat="1" ht="16.5" customHeight="1" x14ac:dyDescent="0.25">
      <c r="A42" s="89"/>
      <c r="B42" s="76" t="s">
        <v>137</v>
      </c>
      <c r="C42" s="73"/>
      <c r="D42" s="77" t="e">
        <f>SUM(D39:D41)</f>
        <v>#REF!</v>
      </c>
      <c r="E42" s="77" t="e">
        <f t="shared" ref="E42:O42" si="11">SUM(E39:E41)</f>
        <v>#REF!</v>
      </c>
      <c r="F42" s="77" t="e">
        <f t="shared" si="11"/>
        <v>#REF!</v>
      </c>
      <c r="G42" s="77" t="e">
        <f t="shared" si="11"/>
        <v>#REF!</v>
      </c>
      <c r="H42" s="77" t="e">
        <f t="shared" si="11"/>
        <v>#REF!</v>
      </c>
      <c r="I42" s="77" t="e">
        <f t="shared" si="11"/>
        <v>#REF!</v>
      </c>
      <c r="J42" s="77" t="e">
        <f t="shared" si="11"/>
        <v>#REF!</v>
      </c>
      <c r="K42" s="77" t="e">
        <f t="shared" si="11"/>
        <v>#REF!</v>
      </c>
      <c r="L42" s="77" t="e">
        <f t="shared" si="11"/>
        <v>#REF!</v>
      </c>
      <c r="M42" s="77" t="e">
        <f t="shared" si="11"/>
        <v>#REF!</v>
      </c>
      <c r="N42" s="77" t="e">
        <f t="shared" si="11"/>
        <v>#REF!</v>
      </c>
      <c r="O42" s="77" t="e">
        <f t="shared" si="11"/>
        <v>#REF!</v>
      </c>
      <c r="AA42" s="67"/>
    </row>
    <row r="43" spans="1:27" s="66" customFormat="1" ht="16.5" customHeight="1" x14ac:dyDescent="0.25">
      <c r="A43" s="78"/>
      <c r="B43" s="79"/>
      <c r="C43" s="73"/>
      <c r="D43" s="74"/>
      <c r="E43" s="74"/>
      <c r="F43" s="74"/>
      <c r="G43" s="74"/>
      <c r="H43" s="74"/>
      <c r="I43" s="74"/>
      <c r="J43" s="74"/>
      <c r="K43" s="74"/>
      <c r="L43" s="74"/>
      <c r="M43" s="74"/>
      <c r="N43" s="74"/>
      <c r="O43" s="74"/>
      <c r="AA43" s="67"/>
    </row>
    <row r="44" spans="1:27" s="66" customFormat="1" ht="16.5" customHeight="1" x14ac:dyDescent="0.25">
      <c r="A44" s="416">
        <v>9</v>
      </c>
      <c r="B44" s="72" t="s">
        <v>126</v>
      </c>
      <c r="C44" s="74">
        <f>'12 дней с 12 до 18 лет'!C193</f>
        <v>650</v>
      </c>
      <c r="D44" s="74">
        <f>'12 дней с 12 до 18 лет'!D193</f>
        <v>22.959999999999997</v>
      </c>
      <c r="E44" s="74">
        <f>'12 дней с 12 до 18 лет'!E193</f>
        <v>22.52</v>
      </c>
      <c r="F44" s="74">
        <f>'12 дней с 12 до 18 лет'!F193</f>
        <v>99.049999999999983</v>
      </c>
      <c r="G44" s="74">
        <f>'12 дней с 12 до 18 лет'!G193</f>
        <v>808.61</v>
      </c>
      <c r="H44" s="74" t="e">
        <f>'12 дней с 12 до 18 лет'!#REF!</f>
        <v>#REF!</v>
      </c>
      <c r="I44" s="74" t="e">
        <f>'12 дней с 12 до 18 лет'!#REF!</f>
        <v>#REF!</v>
      </c>
      <c r="J44" s="74" t="e">
        <f>'12 дней с 12 до 18 лет'!#REF!</f>
        <v>#REF!</v>
      </c>
      <c r="K44" s="74" t="e">
        <f>'12 дней с 12 до 18 лет'!#REF!</f>
        <v>#REF!</v>
      </c>
      <c r="L44" s="74" t="e">
        <f>'12 дней с 12 до 18 лет'!#REF!</f>
        <v>#REF!</v>
      </c>
      <c r="M44" s="74" t="e">
        <f>'12 дней с 12 до 18 лет'!#REF!</f>
        <v>#REF!</v>
      </c>
      <c r="N44" s="74" t="e">
        <f>'12 дней с 12 до 18 лет'!#REF!</f>
        <v>#REF!</v>
      </c>
      <c r="O44" s="74" t="e">
        <f>'12 дней с 12 до 18 лет'!#REF!</f>
        <v>#REF!</v>
      </c>
      <c r="AA44" s="67"/>
    </row>
    <row r="45" spans="1:27" s="66" customFormat="1" ht="16.5" customHeight="1" x14ac:dyDescent="0.25">
      <c r="A45" s="417"/>
      <c r="B45" s="72" t="s">
        <v>127</v>
      </c>
      <c r="C45" s="74" t="e">
        <f>'12 дней с 12 до 18 лет'!#REF!</f>
        <v>#REF!</v>
      </c>
      <c r="D45" s="74" t="e">
        <f>'12 дней с 12 до 18 лет'!#REF!</f>
        <v>#REF!</v>
      </c>
      <c r="E45" s="74" t="e">
        <f>'12 дней с 12 до 18 лет'!#REF!</f>
        <v>#REF!</v>
      </c>
      <c r="F45" s="74" t="e">
        <f>'12 дней с 12 до 18 лет'!#REF!</f>
        <v>#REF!</v>
      </c>
      <c r="G45" s="74" t="e">
        <f>'12 дней с 12 до 18 лет'!#REF!</f>
        <v>#REF!</v>
      </c>
      <c r="H45" s="74" t="e">
        <f>'12 дней с 12 до 18 лет'!#REF!</f>
        <v>#REF!</v>
      </c>
      <c r="I45" s="74" t="e">
        <f>'12 дней с 12 до 18 лет'!#REF!</f>
        <v>#REF!</v>
      </c>
      <c r="J45" s="74" t="e">
        <f>'12 дней с 12 до 18 лет'!#REF!</f>
        <v>#REF!</v>
      </c>
      <c r="K45" s="74" t="e">
        <f>'12 дней с 12 до 18 лет'!#REF!</f>
        <v>#REF!</v>
      </c>
      <c r="L45" s="74" t="e">
        <f>'12 дней с 12 до 18 лет'!#REF!</f>
        <v>#REF!</v>
      </c>
      <c r="M45" s="74" t="e">
        <f>'12 дней с 12 до 18 лет'!#REF!</f>
        <v>#REF!</v>
      </c>
      <c r="N45" s="74" t="e">
        <f>'12 дней с 12 до 18 лет'!#REF!</f>
        <v>#REF!</v>
      </c>
      <c r="O45" s="74" t="e">
        <f>'12 дней с 12 до 18 лет'!#REF!</f>
        <v>#REF!</v>
      </c>
      <c r="AA45" s="67"/>
    </row>
    <row r="46" spans="1:27" s="66" customFormat="1" ht="16.5" customHeight="1" x14ac:dyDescent="0.25">
      <c r="A46" s="418"/>
      <c r="B46" s="107" t="s">
        <v>1034</v>
      </c>
      <c r="C46" s="278" t="e">
        <f>'12 дней с 12 до 18 лет'!#REF!</f>
        <v>#REF!</v>
      </c>
      <c r="D46" s="74" t="e">
        <f>'12 дней с 12 до 18 лет'!#REF!</f>
        <v>#REF!</v>
      </c>
      <c r="E46" s="74" t="e">
        <f>'12 дней с 12 до 18 лет'!#REF!</f>
        <v>#REF!</v>
      </c>
      <c r="F46" s="74" t="e">
        <f>'12 дней с 12 до 18 лет'!#REF!</f>
        <v>#REF!</v>
      </c>
      <c r="G46" s="74" t="e">
        <f>'12 дней с 12 до 18 лет'!#REF!</f>
        <v>#REF!</v>
      </c>
      <c r="H46" s="74" t="e">
        <f>'12 дней с 12 до 18 лет'!#REF!</f>
        <v>#REF!</v>
      </c>
      <c r="I46" s="74">
        <f>'12 дней с 12 до 18 лет'!H186</f>
        <v>0</v>
      </c>
      <c r="J46" s="74">
        <f>'12 дней с 12 до 18 лет'!I186</f>
        <v>0</v>
      </c>
      <c r="K46" s="74">
        <f>'12 дней с 12 до 18 лет'!J186</f>
        <v>0</v>
      </c>
      <c r="L46" s="74">
        <f>'12 дней с 12 до 18 лет'!K186</f>
        <v>0</v>
      </c>
      <c r="M46" s="74">
        <f>'12 дней с 12 до 18 лет'!L186</f>
        <v>0</v>
      </c>
      <c r="N46" s="74">
        <f>'12 дней с 12 до 18 лет'!M186</f>
        <v>0</v>
      </c>
      <c r="O46" s="74">
        <f>'12 дней с 12 до 18 лет'!N186</f>
        <v>0</v>
      </c>
      <c r="AA46" s="67"/>
    </row>
    <row r="47" spans="1:27" s="66" customFormat="1" ht="16.5" customHeight="1" x14ac:dyDescent="0.25">
      <c r="A47" s="89"/>
      <c r="B47" s="76" t="s">
        <v>138</v>
      </c>
      <c r="C47" s="73"/>
      <c r="D47" s="77" t="e">
        <f>SUM(D44:D46)</f>
        <v>#REF!</v>
      </c>
      <c r="E47" s="77" t="e">
        <f t="shared" ref="E47:O47" si="12">SUM(E44:E46)</f>
        <v>#REF!</v>
      </c>
      <c r="F47" s="77" t="e">
        <f t="shared" si="12"/>
        <v>#REF!</v>
      </c>
      <c r="G47" s="77" t="e">
        <f t="shared" si="12"/>
        <v>#REF!</v>
      </c>
      <c r="H47" s="77" t="e">
        <f t="shared" si="12"/>
        <v>#REF!</v>
      </c>
      <c r="I47" s="77" t="e">
        <f t="shared" si="12"/>
        <v>#REF!</v>
      </c>
      <c r="J47" s="77" t="e">
        <f t="shared" si="12"/>
        <v>#REF!</v>
      </c>
      <c r="K47" s="77" t="e">
        <f t="shared" si="12"/>
        <v>#REF!</v>
      </c>
      <c r="L47" s="77" t="e">
        <f t="shared" si="12"/>
        <v>#REF!</v>
      </c>
      <c r="M47" s="77" t="e">
        <f t="shared" si="12"/>
        <v>#REF!</v>
      </c>
      <c r="N47" s="77" t="e">
        <f t="shared" si="12"/>
        <v>#REF!</v>
      </c>
      <c r="O47" s="77" t="e">
        <f t="shared" si="12"/>
        <v>#REF!</v>
      </c>
      <c r="AA47" s="67"/>
    </row>
    <row r="48" spans="1:27" s="66" customFormat="1" ht="16.5" customHeight="1" x14ac:dyDescent="0.25">
      <c r="A48" s="78"/>
      <c r="B48" s="79"/>
      <c r="C48" s="73"/>
      <c r="D48" s="74"/>
      <c r="E48" s="74"/>
      <c r="F48" s="74"/>
      <c r="G48" s="74"/>
      <c r="H48" s="74"/>
      <c r="I48" s="74"/>
      <c r="J48" s="74"/>
      <c r="K48" s="74"/>
      <c r="L48" s="74"/>
      <c r="M48" s="74"/>
      <c r="N48" s="74"/>
      <c r="O48" s="74"/>
      <c r="AA48" s="67"/>
    </row>
    <row r="49" spans="1:27" s="66" customFormat="1" ht="16.5" customHeight="1" x14ac:dyDescent="0.25">
      <c r="A49" s="416">
        <v>10</v>
      </c>
      <c r="B49" s="72" t="s">
        <v>126</v>
      </c>
      <c r="C49" s="74">
        <f>'12 дней с 12 до 18 лет'!C213</f>
        <v>620</v>
      </c>
      <c r="D49" s="74">
        <f>'12 дней с 12 до 18 лет'!D213</f>
        <v>18.86</v>
      </c>
      <c r="E49" s="74">
        <f>'12 дней с 12 до 18 лет'!E213</f>
        <v>18.12</v>
      </c>
      <c r="F49" s="74">
        <f>'12 дней с 12 до 18 лет'!F213</f>
        <v>111.17000000000002</v>
      </c>
      <c r="G49" s="74">
        <f>'12 дней с 12 до 18 лет'!G213</f>
        <v>565.67999999999995</v>
      </c>
      <c r="H49" s="74" t="e">
        <f>'12 дней с 12 до 18 лет'!#REF!</f>
        <v>#REF!</v>
      </c>
      <c r="I49" s="74" t="e">
        <f>'12 дней с 12 до 18 лет'!#REF!</f>
        <v>#REF!</v>
      </c>
      <c r="J49" s="74" t="e">
        <f>'12 дней с 12 до 18 лет'!#REF!</f>
        <v>#REF!</v>
      </c>
      <c r="K49" s="74" t="e">
        <f>'12 дней с 12 до 18 лет'!#REF!</f>
        <v>#REF!</v>
      </c>
      <c r="L49" s="74" t="e">
        <f>'12 дней с 12 до 18 лет'!#REF!</f>
        <v>#REF!</v>
      </c>
      <c r="M49" s="74" t="e">
        <f>'12 дней с 12 до 18 лет'!#REF!</f>
        <v>#REF!</v>
      </c>
      <c r="N49" s="74" t="e">
        <f>'12 дней с 12 до 18 лет'!#REF!</f>
        <v>#REF!</v>
      </c>
      <c r="O49" s="74" t="e">
        <f>'12 дней с 12 до 18 лет'!#REF!</f>
        <v>#REF!</v>
      </c>
      <c r="AA49" s="67"/>
    </row>
    <row r="50" spans="1:27" s="66" customFormat="1" ht="16.5" customHeight="1" x14ac:dyDescent="0.25">
      <c r="A50" s="417"/>
      <c r="B50" s="72" t="s">
        <v>127</v>
      </c>
      <c r="C50" s="74" t="e">
        <f>'12 дней с 12 до 18 лет'!#REF!</f>
        <v>#REF!</v>
      </c>
      <c r="D50" s="74" t="e">
        <f>'12 дней с 12 до 18 лет'!#REF!</f>
        <v>#REF!</v>
      </c>
      <c r="E50" s="74" t="e">
        <f>'12 дней с 12 до 18 лет'!#REF!</f>
        <v>#REF!</v>
      </c>
      <c r="F50" s="74" t="e">
        <f>'12 дней с 12 до 18 лет'!#REF!</f>
        <v>#REF!</v>
      </c>
      <c r="G50" s="74" t="e">
        <f>'12 дней с 12 до 18 лет'!#REF!</f>
        <v>#REF!</v>
      </c>
      <c r="H50" s="74" t="e">
        <f>'12 дней с 12 до 18 лет'!#REF!</f>
        <v>#REF!</v>
      </c>
      <c r="I50" s="74" t="e">
        <f>'12 дней с 12 до 18 лет'!#REF!</f>
        <v>#REF!</v>
      </c>
      <c r="J50" s="74" t="e">
        <f>'12 дней с 12 до 18 лет'!#REF!</f>
        <v>#REF!</v>
      </c>
      <c r="K50" s="74" t="e">
        <f>'12 дней с 12 до 18 лет'!#REF!</f>
        <v>#REF!</v>
      </c>
      <c r="L50" s="74" t="e">
        <f>'12 дней с 12 до 18 лет'!#REF!</f>
        <v>#REF!</v>
      </c>
      <c r="M50" s="74" t="e">
        <f>'12 дней с 12 до 18 лет'!#REF!</f>
        <v>#REF!</v>
      </c>
      <c r="N50" s="74" t="e">
        <f>'12 дней с 12 до 18 лет'!#REF!</f>
        <v>#REF!</v>
      </c>
      <c r="O50" s="74" t="e">
        <f>'12 дней с 12 до 18 лет'!#REF!</f>
        <v>#REF!</v>
      </c>
      <c r="AA50" s="67"/>
    </row>
    <row r="51" spans="1:27" s="66" customFormat="1" ht="16.5" customHeight="1" x14ac:dyDescent="0.25">
      <c r="A51" s="418"/>
      <c r="B51" s="107" t="s">
        <v>1034</v>
      </c>
      <c r="C51" s="278" t="e">
        <f>'12 дней с 12 до 18 лет'!#REF!</f>
        <v>#REF!</v>
      </c>
      <c r="D51" s="74" t="e">
        <f>'12 дней с 12 до 18 лет'!#REF!</f>
        <v>#REF!</v>
      </c>
      <c r="E51" s="74" t="e">
        <f>'12 дней с 12 до 18 лет'!#REF!</f>
        <v>#REF!</v>
      </c>
      <c r="F51" s="74" t="e">
        <f>'12 дней с 12 до 18 лет'!#REF!</f>
        <v>#REF!</v>
      </c>
      <c r="G51" s="74" t="e">
        <f>'12 дней с 12 до 18 лет'!#REF!</f>
        <v>#REF!</v>
      </c>
      <c r="H51" s="74" t="e">
        <f>'12 дней с 12 до 18 лет'!#REF!</f>
        <v>#REF!</v>
      </c>
      <c r="I51" s="74">
        <f>'12 дней с 12 до 18 лет'!H207</f>
        <v>0</v>
      </c>
      <c r="J51" s="74">
        <f>'12 дней с 12 до 18 лет'!I207</f>
        <v>0</v>
      </c>
      <c r="K51" s="74">
        <f>'12 дней с 12 до 18 лет'!J207</f>
        <v>0</v>
      </c>
      <c r="L51" s="74">
        <f>'12 дней с 12 до 18 лет'!K207</f>
        <v>0</v>
      </c>
      <c r="M51" s="74">
        <f>'12 дней с 12 до 18 лет'!L207</f>
        <v>0</v>
      </c>
      <c r="N51" s="74">
        <f>'12 дней с 12 до 18 лет'!M207</f>
        <v>0</v>
      </c>
      <c r="O51" s="74">
        <f>'12 дней с 12 до 18 лет'!N207</f>
        <v>0</v>
      </c>
      <c r="AA51" s="67"/>
    </row>
    <row r="52" spans="1:27" s="66" customFormat="1" ht="16.5" customHeight="1" x14ac:dyDescent="0.25">
      <c r="A52" s="73"/>
      <c r="B52" s="76" t="s">
        <v>139</v>
      </c>
      <c r="C52" s="73"/>
      <c r="D52" s="84" t="e">
        <f>SUM(D49:D51)</f>
        <v>#REF!</v>
      </c>
      <c r="E52" s="84" t="e">
        <f t="shared" ref="E52:O52" si="13">SUM(E49:E51)</f>
        <v>#REF!</v>
      </c>
      <c r="F52" s="84" t="e">
        <f t="shared" si="13"/>
        <v>#REF!</v>
      </c>
      <c r="G52" s="84" t="e">
        <f t="shared" si="13"/>
        <v>#REF!</v>
      </c>
      <c r="H52" s="84" t="e">
        <f t="shared" si="13"/>
        <v>#REF!</v>
      </c>
      <c r="I52" s="84" t="e">
        <f t="shared" si="13"/>
        <v>#REF!</v>
      </c>
      <c r="J52" s="84" t="e">
        <f t="shared" si="13"/>
        <v>#REF!</v>
      </c>
      <c r="K52" s="84" t="e">
        <f t="shared" si="13"/>
        <v>#REF!</v>
      </c>
      <c r="L52" s="84" t="e">
        <f t="shared" si="13"/>
        <v>#REF!</v>
      </c>
      <c r="M52" s="84" t="e">
        <f t="shared" si="13"/>
        <v>#REF!</v>
      </c>
      <c r="N52" s="84" t="e">
        <f t="shared" si="13"/>
        <v>#REF!</v>
      </c>
      <c r="O52" s="84" t="e">
        <f t="shared" si="13"/>
        <v>#REF!</v>
      </c>
      <c r="AA52" s="67"/>
    </row>
    <row r="53" spans="1:27" s="66" customFormat="1" ht="16.5" customHeight="1" x14ac:dyDescent="0.25">
      <c r="A53" s="78"/>
      <c r="B53" s="79"/>
      <c r="C53" s="73"/>
      <c r="D53" s="74"/>
      <c r="E53" s="74"/>
      <c r="F53" s="74"/>
      <c r="G53" s="74"/>
      <c r="H53" s="74"/>
      <c r="I53" s="74"/>
      <c r="J53" s="74"/>
      <c r="K53" s="74"/>
      <c r="L53" s="74"/>
      <c r="M53" s="74"/>
      <c r="N53" s="74"/>
      <c r="O53" s="74"/>
      <c r="AA53" s="67"/>
    </row>
    <row r="54" spans="1:27" s="66" customFormat="1" ht="16.5" customHeight="1" x14ac:dyDescent="0.25">
      <c r="A54" s="416">
        <v>11</v>
      </c>
      <c r="B54" s="72" t="s">
        <v>126</v>
      </c>
      <c r="C54" s="74">
        <f>'12 дней с 12 до 18 лет'!C234</f>
        <v>620</v>
      </c>
      <c r="D54" s="74">
        <f>'12 дней с 12 до 18 лет'!D234</f>
        <v>24.759999999999998</v>
      </c>
      <c r="E54" s="74">
        <f>'12 дней с 12 до 18 лет'!E234</f>
        <v>24.75</v>
      </c>
      <c r="F54" s="74">
        <f>'12 дней с 12 до 18 лет'!F234</f>
        <v>86.35</v>
      </c>
      <c r="G54" s="74">
        <f>'12 дней с 12 до 18 лет'!G234</f>
        <v>722.68000000000006</v>
      </c>
      <c r="H54" s="74" t="e">
        <f>'12 дней с 12 до 18 лет'!#REF!</f>
        <v>#REF!</v>
      </c>
      <c r="I54" s="74" t="e">
        <f>'12 дней с 12 до 18 лет'!#REF!</f>
        <v>#REF!</v>
      </c>
      <c r="J54" s="74" t="e">
        <f>'12 дней с 12 до 18 лет'!#REF!</f>
        <v>#REF!</v>
      </c>
      <c r="K54" s="74" t="e">
        <f>'12 дней с 12 до 18 лет'!#REF!</f>
        <v>#REF!</v>
      </c>
      <c r="L54" s="74" t="e">
        <f>'12 дней с 12 до 18 лет'!#REF!</f>
        <v>#REF!</v>
      </c>
      <c r="M54" s="74" t="e">
        <f>'12 дней с 12 до 18 лет'!#REF!</f>
        <v>#REF!</v>
      </c>
      <c r="N54" s="74" t="e">
        <f>'12 дней с 12 до 18 лет'!#REF!</f>
        <v>#REF!</v>
      </c>
      <c r="O54" s="74" t="e">
        <f>'12 дней с 12 до 18 лет'!#REF!</f>
        <v>#REF!</v>
      </c>
      <c r="AA54" s="67"/>
    </row>
    <row r="55" spans="1:27" s="66" customFormat="1" ht="16.5" customHeight="1" x14ac:dyDescent="0.25">
      <c r="A55" s="417"/>
      <c r="B55" s="72" t="s">
        <v>127</v>
      </c>
      <c r="C55" s="74" t="e">
        <f>'12 дней с 12 до 18 лет'!#REF!</f>
        <v>#REF!</v>
      </c>
      <c r="D55" s="74" t="e">
        <f>'12 дней с 12 до 18 лет'!#REF!</f>
        <v>#REF!</v>
      </c>
      <c r="E55" s="74" t="e">
        <f>'12 дней с 12 до 18 лет'!#REF!</f>
        <v>#REF!</v>
      </c>
      <c r="F55" s="74" t="e">
        <f>'12 дней с 12 до 18 лет'!#REF!</f>
        <v>#REF!</v>
      </c>
      <c r="G55" s="74" t="e">
        <f>'12 дней с 12 до 18 лет'!#REF!</f>
        <v>#REF!</v>
      </c>
      <c r="H55" s="74" t="e">
        <f>'12 дней с 12 до 18 лет'!#REF!</f>
        <v>#REF!</v>
      </c>
      <c r="I55" s="74" t="e">
        <f>'12 дней с 12 до 18 лет'!#REF!</f>
        <v>#REF!</v>
      </c>
      <c r="J55" s="74" t="e">
        <f>'12 дней с 12 до 18 лет'!#REF!</f>
        <v>#REF!</v>
      </c>
      <c r="K55" s="74" t="e">
        <f>'12 дней с 12 до 18 лет'!#REF!</f>
        <v>#REF!</v>
      </c>
      <c r="L55" s="74" t="e">
        <f>'12 дней с 12 до 18 лет'!#REF!</f>
        <v>#REF!</v>
      </c>
      <c r="M55" s="74" t="e">
        <f>'12 дней с 12 до 18 лет'!#REF!</f>
        <v>#REF!</v>
      </c>
      <c r="N55" s="74" t="e">
        <f>'12 дней с 12 до 18 лет'!#REF!</f>
        <v>#REF!</v>
      </c>
      <c r="O55" s="74" t="e">
        <f>'12 дней с 12 до 18 лет'!#REF!</f>
        <v>#REF!</v>
      </c>
      <c r="AA55" s="67"/>
    </row>
    <row r="56" spans="1:27" s="66" customFormat="1" ht="16.5" customHeight="1" x14ac:dyDescent="0.25">
      <c r="A56" s="418"/>
      <c r="B56" s="107" t="s">
        <v>1034</v>
      </c>
      <c r="C56" s="278" t="e">
        <f>'12 дней с 12 до 18 лет'!#REF!</f>
        <v>#REF!</v>
      </c>
      <c r="D56" s="74" t="e">
        <f>'12 дней с 12 до 18 лет'!#REF!</f>
        <v>#REF!</v>
      </c>
      <c r="E56" s="74" t="e">
        <f>'12 дней с 12 до 18 лет'!#REF!</f>
        <v>#REF!</v>
      </c>
      <c r="F56" s="74" t="e">
        <f>'12 дней с 12 до 18 лет'!#REF!</f>
        <v>#REF!</v>
      </c>
      <c r="G56" s="74" t="e">
        <f>'12 дней с 12 до 18 лет'!#REF!</f>
        <v>#REF!</v>
      </c>
      <c r="H56" s="74" t="e">
        <f>'12 дней с 12 до 18 лет'!#REF!</f>
        <v>#REF!</v>
      </c>
      <c r="I56" s="74">
        <f>'12 дней с 12 до 18 лет'!H229</f>
        <v>0</v>
      </c>
      <c r="J56" s="74">
        <f>'12 дней с 12 до 18 лет'!I229</f>
        <v>0</v>
      </c>
      <c r="K56" s="74">
        <f>'12 дней с 12 до 18 лет'!J229</f>
        <v>0</v>
      </c>
      <c r="L56" s="74">
        <f>'12 дней с 12 до 18 лет'!K229</f>
        <v>0</v>
      </c>
      <c r="M56" s="74">
        <f>'12 дней с 12 до 18 лет'!L229</f>
        <v>0</v>
      </c>
      <c r="N56" s="74">
        <f>'12 дней с 12 до 18 лет'!M229</f>
        <v>0</v>
      </c>
      <c r="O56" s="74">
        <f>'12 дней с 12 до 18 лет'!N229</f>
        <v>0</v>
      </c>
      <c r="AA56" s="67"/>
    </row>
    <row r="57" spans="1:27" s="66" customFormat="1" ht="16.5" customHeight="1" x14ac:dyDescent="0.25">
      <c r="A57" s="89"/>
      <c r="B57" s="76" t="s">
        <v>140</v>
      </c>
      <c r="C57" s="73"/>
      <c r="D57" s="77" t="e">
        <f>SUM(D54:D56)</f>
        <v>#REF!</v>
      </c>
      <c r="E57" s="77" t="e">
        <f t="shared" ref="E57:O57" si="14">SUM(E54:E56)</f>
        <v>#REF!</v>
      </c>
      <c r="F57" s="77" t="e">
        <f t="shared" si="14"/>
        <v>#REF!</v>
      </c>
      <c r="G57" s="77" t="e">
        <f t="shared" si="14"/>
        <v>#REF!</v>
      </c>
      <c r="H57" s="77" t="e">
        <f t="shared" si="14"/>
        <v>#REF!</v>
      </c>
      <c r="I57" s="77" t="e">
        <f t="shared" si="14"/>
        <v>#REF!</v>
      </c>
      <c r="J57" s="77" t="e">
        <f t="shared" si="14"/>
        <v>#REF!</v>
      </c>
      <c r="K57" s="77" t="e">
        <f t="shared" si="14"/>
        <v>#REF!</v>
      </c>
      <c r="L57" s="77" t="e">
        <f t="shared" si="14"/>
        <v>#REF!</v>
      </c>
      <c r="M57" s="77" t="e">
        <f t="shared" si="14"/>
        <v>#REF!</v>
      </c>
      <c r="N57" s="77" t="e">
        <f t="shared" si="14"/>
        <v>#REF!</v>
      </c>
      <c r="O57" s="77" t="e">
        <f t="shared" si="14"/>
        <v>#REF!</v>
      </c>
      <c r="AA57" s="67"/>
    </row>
    <row r="58" spans="1:27" s="66" customFormat="1" ht="16.5" customHeight="1" x14ac:dyDescent="0.25">
      <c r="A58" s="78"/>
      <c r="B58" s="79"/>
      <c r="C58" s="73"/>
      <c r="D58" s="74"/>
      <c r="E58" s="74"/>
      <c r="F58" s="74"/>
      <c r="G58" s="74"/>
      <c r="H58" s="74"/>
      <c r="I58" s="74"/>
      <c r="J58" s="74"/>
      <c r="K58" s="74"/>
      <c r="L58" s="74"/>
      <c r="M58" s="74"/>
      <c r="N58" s="74"/>
      <c r="O58" s="74"/>
      <c r="AA58" s="67"/>
    </row>
    <row r="59" spans="1:27" s="66" customFormat="1" ht="16.5" customHeight="1" x14ac:dyDescent="0.25">
      <c r="A59" s="416">
        <v>12</v>
      </c>
      <c r="B59" s="72" t="s">
        <v>126</v>
      </c>
      <c r="C59" s="74" t="e">
        <f>'12 дней с 12 до 18 лет'!#REF!</f>
        <v>#REF!</v>
      </c>
      <c r="D59" s="74" t="e">
        <f>'12 дней с 12 до 18 лет'!#REF!</f>
        <v>#REF!</v>
      </c>
      <c r="E59" s="74" t="e">
        <f>'12 дней с 12 до 18 лет'!#REF!</f>
        <v>#REF!</v>
      </c>
      <c r="F59" s="74" t="e">
        <f>'12 дней с 12 до 18 лет'!#REF!</f>
        <v>#REF!</v>
      </c>
      <c r="G59" s="74" t="e">
        <f>'12 дней с 12 до 18 лет'!#REF!</f>
        <v>#REF!</v>
      </c>
      <c r="H59" s="74" t="e">
        <f>'12 дней с 12 до 18 лет'!#REF!</f>
        <v>#REF!</v>
      </c>
      <c r="I59" s="74" t="e">
        <f>'12 дней с 12 до 18 лет'!#REF!</f>
        <v>#REF!</v>
      </c>
      <c r="J59" s="74" t="e">
        <f>'12 дней с 12 до 18 лет'!#REF!</f>
        <v>#REF!</v>
      </c>
      <c r="K59" s="74" t="e">
        <f>'12 дней с 12 до 18 лет'!#REF!</f>
        <v>#REF!</v>
      </c>
      <c r="L59" s="74" t="e">
        <f>'12 дней с 12 до 18 лет'!#REF!</f>
        <v>#REF!</v>
      </c>
      <c r="M59" s="74" t="e">
        <f>'12 дней с 12 до 18 лет'!#REF!</f>
        <v>#REF!</v>
      </c>
      <c r="N59" s="74" t="e">
        <f>'12 дней с 12 до 18 лет'!#REF!</f>
        <v>#REF!</v>
      </c>
      <c r="O59" s="74" t="e">
        <f>'12 дней с 12 до 18 лет'!#REF!</f>
        <v>#REF!</v>
      </c>
      <c r="AA59" s="67"/>
    </row>
    <row r="60" spans="1:27" s="66" customFormat="1" ht="16.5" customHeight="1" x14ac:dyDescent="0.25">
      <c r="A60" s="417"/>
      <c r="B60" s="72" t="s">
        <v>127</v>
      </c>
      <c r="C60" s="74" t="e">
        <f>'12 дней с 12 до 18 лет'!#REF!</f>
        <v>#REF!</v>
      </c>
      <c r="D60" s="74" t="e">
        <f>'12 дней с 12 до 18 лет'!#REF!</f>
        <v>#REF!</v>
      </c>
      <c r="E60" s="74" t="e">
        <f>'12 дней с 12 до 18 лет'!#REF!</f>
        <v>#REF!</v>
      </c>
      <c r="F60" s="74" t="e">
        <f>'12 дней с 12 до 18 лет'!#REF!</f>
        <v>#REF!</v>
      </c>
      <c r="G60" s="74" t="e">
        <f>'12 дней с 12 до 18 лет'!#REF!</f>
        <v>#REF!</v>
      </c>
      <c r="H60" s="74" t="e">
        <f>'12 дней с 12 до 18 лет'!#REF!</f>
        <v>#REF!</v>
      </c>
      <c r="I60" s="74" t="e">
        <f>'12 дней с 12 до 18 лет'!#REF!</f>
        <v>#REF!</v>
      </c>
      <c r="J60" s="74" t="e">
        <f>'12 дней с 12 до 18 лет'!#REF!</f>
        <v>#REF!</v>
      </c>
      <c r="K60" s="74" t="e">
        <f>'12 дней с 12 до 18 лет'!#REF!</f>
        <v>#REF!</v>
      </c>
      <c r="L60" s="74" t="e">
        <f>'12 дней с 12 до 18 лет'!#REF!</f>
        <v>#REF!</v>
      </c>
      <c r="M60" s="74" t="e">
        <f>'12 дней с 12 до 18 лет'!#REF!</f>
        <v>#REF!</v>
      </c>
      <c r="N60" s="74" t="e">
        <f>'12 дней с 12 до 18 лет'!#REF!</f>
        <v>#REF!</v>
      </c>
      <c r="O60" s="74" t="e">
        <f>'12 дней с 12 до 18 лет'!#REF!</f>
        <v>#REF!</v>
      </c>
      <c r="AA60" s="67"/>
    </row>
    <row r="61" spans="1:27" s="66" customFormat="1" ht="16.5" customHeight="1" x14ac:dyDescent="0.25">
      <c r="A61" s="418"/>
      <c r="B61" s="107" t="s">
        <v>1034</v>
      </c>
      <c r="C61" s="278" t="e">
        <f>'12 дней с 12 до 18 лет'!#REF!</f>
        <v>#REF!</v>
      </c>
      <c r="D61" s="74" t="e">
        <f>'12 дней с 12 до 18 лет'!#REF!</f>
        <v>#REF!</v>
      </c>
      <c r="E61" s="74" t="e">
        <f>'12 дней с 12 до 18 лет'!#REF!</f>
        <v>#REF!</v>
      </c>
      <c r="F61" s="74" t="e">
        <f>'12 дней с 12 до 18 лет'!#REF!</f>
        <v>#REF!</v>
      </c>
      <c r="G61" s="74" t="e">
        <f>'12 дней с 12 до 18 лет'!#REF!</f>
        <v>#REF!</v>
      </c>
      <c r="H61" s="74" t="e">
        <f>'12 дней с 12 до 18 лет'!#REF!</f>
        <v>#REF!</v>
      </c>
      <c r="I61" s="74" t="e">
        <f>'12 дней с 12 до 18 лет'!#REF!</f>
        <v>#REF!</v>
      </c>
      <c r="J61" s="74" t="e">
        <f>'12 дней с 12 до 18 лет'!#REF!</f>
        <v>#REF!</v>
      </c>
      <c r="K61" s="74" t="e">
        <f>'12 дней с 12 до 18 лет'!#REF!</f>
        <v>#REF!</v>
      </c>
      <c r="L61" s="74" t="e">
        <f>'12 дней с 12 до 18 лет'!#REF!</f>
        <v>#REF!</v>
      </c>
      <c r="M61" s="74" t="e">
        <f>'12 дней с 12 до 18 лет'!#REF!</f>
        <v>#REF!</v>
      </c>
      <c r="N61" s="74" t="e">
        <f>'12 дней с 12 до 18 лет'!#REF!</f>
        <v>#REF!</v>
      </c>
      <c r="O61" s="74" t="e">
        <f>'12 дней с 12 до 18 лет'!#REF!</f>
        <v>#REF!</v>
      </c>
      <c r="AA61" s="67"/>
    </row>
    <row r="62" spans="1:27" s="66" customFormat="1" ht="16.5" customHeight="1" x14ac:dyDescent="0.25">
      <c r="A62" s="89"/>
      <c r="B62" s="76" t="s">
        <v>129</v>
      </c>
      <c r="C62" s="73"/>
      <c r="D62" s="77" t="e">
        <f>SUM(D59:D61)</f>
        <v>#REF!</v>
      </c>
      <c r="E62" s="77" t="e">
        <f t="shared" ref="E62:O62" si="15">SUM(E59:E61)</f>
        <v>#REF!</v>
      </c>
      <c r="F62" s="77" t="e">
        <f t="shared" si="15"/>
        <v>#REF!</v>
      </c>
      <c r="G62" s="77" t="e">
        <f t="shared" si="15"/>
        <v>#REF!</v>
      </c>
      <c r="H62" s="77" t="e">
        <f t="shared" si="15"/>
        <v>#REF!</v>
      </c>
      <c r="I62" s="77" t="e">
        <f t="shared" si="15"/>
        <v>#REF!</v>
      </c>
      <c r="J62" s="77" t="e">
        <f t="shared" si="15"/>
        <v>#REF!</v>
      </c>
      <c r="K62" s="77" t="e">
        <f t="shared" si="15"/>
        <v>#REF!</v>
      </c>
      <c r="L62" s="77" t="e">
        <f t="shared" si="15"/>
        <v>#REF!</v>
      </c>
      <c r="M62" s="77" t="e">
        <f t="shared" si="15"/>
        <v>#REF!</v>
      </c>
      <c r="N62" s="77" t="e">
        <f t="shared" si="15"/>
        <v>#REF!</v>
      </c>
      <c r="O62" s="77" t="e">
        <f t="shared" si="15"/>
        <v>#REF!</v>
      </c>
      <c r="AA62" s="67"/>
    </row>
  </sheetData>
  <mergeCells count="30">
    <mergeCell ref="S9:T9"/>
    <mergeCell ref="A44:A46"/>
    <mergeCell ref="A49:A51"/>
    <mergeCell ref="A54:A56"/>
    <mergeCell ref="A19:A21"/>
    <mergeCell ref="A24:A26"/>
    <mergeCell ref="A29:A31"/>
    <mergeCell ref="A34:A36"/>
    <mergeCell ref="A39:A41"/>
    <mergeCell ref="Y1:AB1"/>
    <mergeCell ref="AC1:AF1"/>
    <mergeCell ref="R4:R7"/>
    <mergeCell ref="U1:W1"/>
    <mergeCell ref="X1:X2"/>
    <mergeCell ref="A59:A61"/>
    <mergeCell ref="S5:T5"/>
    <mergeCell ref="S7:T7"/>
    <mergeCell ref="L1:O1"/>
    <mergeCell ref="R1:R2"/>
    <mergeCell ref="S1:S2"/>
    <mergeCell ref="T1:T2"/>
    <mergeCell ref="A1:A2"/>
    <mergeCell ref="B1:B2"/>
    <mergeCell ref="C1:C2"/>
    <mergeCell ref="D1:F1"/>
    <mergeCell ref="G1:G2"/>
    <mergeCell ref="H1:K1"/>
    <mergeCell ref="A4:A6"/>
    <mergeCell ref="A9:A11"/>
    <mergeCell ref="A14:A16"/>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нормы!$B$5:$B$6</xm:f>
          </x14:formula1>
          <xm:sqref>S9:T9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sqref="A1:Q1"/>
    </sheetView>
  </sheetViews>
  <sheetFormatPr defaultRowHeight="15.75" x14ac:dyDescent="0.25"/>
  <cols>
    <col min="1" max="1" width="20.7109375" style="66" customWidth="1"/>
    <col min="2" max="19" width="15.7109375" style="66" customWidth="1"/>
    <col min="20" max="16384" width="9.140625" style="66"/>
  </cols>
  <sheetData>
    <row r="1" spans="1:17" ht="30" customHeight="1" x14ac:dyDescent="0.25">
      <c r="A1" s="432" t="s">
        <v>101</v>
      </c>
      <c r="B1" s="432"/>
      <c r="C1" s="432"/>
      <c r="D1" s="432"/>
      <c r="E1" s="432"/>
      <c r="F1" s="432"/>
      <c r="G1" s="432"/>
      <c r="H1" s="432"/>
      <c r="I1" s="432"/>
      <c r="J1" s="432"/>
      <c r="K1" s="432"/>
      <c r="L1" s="432"/>
      <c r="M1" s="432"/>
      <c r="N1" s="432"/>
      <c r="O1" s="432"/>
      <c r="P1" s="432"/>
      <c r="Q1" s="432"/>
    </row>
    <row r="2" spans="1:17" ht="30" customHeight="1" x14ac:dyDescent="0.25">
      <c r="A2" s="433" t="s">
        <v>102</v>
      </c>
      <c r="B2" s="434"/>
      <c r="C2" s="210" t="s">
        <v>105</v>
      </c>
      <c r="D2" s="210" t="s">
        <v>106</v>
      </c>
      <c r="E2" s="210" t="s">
        <v>107</v>
      </c>
      <c r="F2" s="210" t="s">
        <v>108</v>
      </c>
      <c r="G2" s="190" t="s">
        <v>109</v>
      </c>
      <c r="H2" s="190" t="s">
        <v>110</v>
      </c>
      <c r="I2" s="190" t="s">
        <v>111</v>
      </c>
      <c r="J2" s="190" t="s">
        <v>112</v>
      </c>
      <c r="K2" s="190" t="s">
        <v>113</v>
      </c>
      <c r="L2" s="190" t="s">
        <v>114</v>
      </c>
      <c r="M2" s="190" t="s">
        <v>115</v>
      </c>
      <c r="N2" s="190" t="s">
        <v>116</v>
      </c>
      <c r="O2" s="190" t="s">
        <v>117</v>
      </c>
      <c r="P2" s="190" t="s">
        <v>118</v>
      </c>
      <c r="Q2" s="190" t="s">
        <v>119</v>
      </c>
    </row>
    <row r="3" spans="1:17" ht="30" customHeight="1" x14ac:dyDescent="0.25">
      <c r="A3" s="435" t="s">
        <v>103</v>
      </c>
      <c r="B3" s="210" t="s">
        <v>93</v>
      </c>
      <c r="C3" s="12">
        <v>77</v>
      </c>
      <c r="D3" s="13">
        <v>79</v>
      </c>
      <c r="E3" s="13">
        <v>335</v>
      </c>
      <c r="F3" s="13">
        <v>2350</v>
      </c>
      <c r="G3" s="13">
        <v>1.2</v>
      </c>
      <c r="H3" s="13">
        <v>1.4</v>
      </c>
      <c r="I3" s="13">
        <v>60</v>
      </c>
      <c r="J3" s="13">
        <v>700</v>
      </c>
      <c r="K3" s="13">
        <v>10</v>
      </c>
      <c r="L3" s="13">
        <v>1100</v>
      </c>
      <c r="M3" s="13">
        <v>1100</v>
      </c>
      <c r="N3" s="13">
        <v>250</v>
      </c>
      <c r="O3" s="13">
        <v>12</v>
      </c>
      <c r="P3" s="13">
        <v>10</v>
      </c>
      <c r="Q3" s="13">
        <v>0.1</v>
      </c>
    </row>
    <row r="4" spans="1:17" ht="30" customHeight="1" x14ac:dyDescent="0.25">
      <c r="A4" s="436"/>
      <c r="B4" s="212" t="s">
        <v>104</v>
      </c>
      <c r="C4" s="71">
        <v>90</v>
      </c>
      <c r="D4" s="13">
        <v>92</v>
      </c>
      <c r="E4" s="13">
        <v>383</v>
      </c>
      <c r="F4" s="13">
        <v>2720</v>
      </c>
      <c r="G4" s="13">
        <v>1.4</v>
      </c>
      <c r="H4" s="13">
        <v>1.6</v>
      </c>
      <c r="I4" s="13">
        <v>70</v>
      </c>
      <c r="J4" s="13">
        <v>900</v>
      </c>
      <c r="K4" s="13">
        <v>12</v>
      </c>
      <c r="L4" s="13">
        <v>1200</v>
      </c>
      <c r="M4" s="13">
        <v>1200</v>
      </c>
      <c r="N4" s="13">
        <v>300</v>
      </c>
      <c r="O4" s="13">
        <v>18</v>
      </c>
      <c r="P4" s="13">
        <v>14</v>
      </c>
      <c r="Q4" s="13">
        <v>0.1</v>
      </c>
    </row>
    <row r="5" spans="1:17" ht="30" customHeight="1" x14ac:dyDescent="0.25">
      <c r="A5" s="437">
        <v>0.6</v>
      </c>
      <c r="B5" s="219" t="s">
        <v>93</v>
      </c>
      <c r="C5" s="213">
        <f t="shared" ref="C5:Q5" si="0">C3*0.6</f>
        <v>46.199999999999996</v>
      </c>
      <c r="D5" s="213">
        <f t="shared" si="0"/>
        <v>47.4</v>
      </c>
      <c r="E5" s="213">
        <f t="shared" si="0"/>
        <v>201</v>
      </c>
      <c r="F5" s="213">
        <f t="shared" si="0"/>
        <v>1410</v>
      </c>
      <c r="G5" s="213">
        <f t="shared" si="0"/>
        <v>0.72</v>
      </c>
      <c r="H5" s="213">
        <f t="shared" si="0"/>
        <v>0.84</v>
      </c>
      <c r="I5" s="213">
        <f t="shared" si="0"/>
        <v>36</v>
      </c>
      <c r="J5" s="213">
        <f t="shared" si="0"/>
        <v>420</v>
      </c>
      <c r="K5" s="213">
        <f t="shared" si="0"/>
        <v>6</v>
      </c>
      <c r="L5" s="213">
        <f t="shared" si="0"/>
        <v>660</v>
      </c>
      <c r="M5" s="213">
        <f t="shared" si="0"/>
        <v>660</v>
      </c>
      <c r="N5" s="213">
        <f t="shared" si="0"/>
        <v>150</v>
      </c>
      <c r="O5" s="213">
        <f t="shared" si="0"/>
        <v>7.1999999999999993</v>
      </c>
      <c r="P5" s="213">
        <f t="shared" si="0"/>
        <v>6</v>
      </c>
      <c r="Q5" s="213">
        <f t="shared" si="0"/>
        <v>0.06</v>
      </c>
    </row>
    <row r="6" spans="1:17" ht="30" customHeight="1" x14ac:dyDescent="0.25">
      <c r="A6" s="438"/>
      <c r="B6" s="219" t="s">
        <v>104</v>
      </c>
      <c r="C6" s="213">
        <f t="shared" ref="C6:Q6" si="1">C4*0.6</f>
        <v>54</v>
      </c>
      <c r="D6" s="213">
        <f t="shared" si="1"/>
        <v>55.199999999999996</v>
      </c>
      <c r="E6" s="213">
        <f t="shared" si="1"/>
        <v>229.79999999999998</v>
      </c>
      <c r="F6" s="213">
        <f t="shared" si="1"/>
        <v>1632</v>
      </c>
      <c r="G6" s="213">
        <f t="shared" si="1"/>
        <v>0.84</v>
      </c>
      <c r="H6" s="213">
        <f t="shared" si="1"/>
        <v>0.96</v>
      </c>
      <c r="I6" s="213">
        <f t="shared" si="1"/>
        <v>42</v>
      </c>
      <c r="J6" s="213">
        <f t="shared" si="1"/>
        <v>540</v>
      </c>
      <c r="K6" s="213">
        <f t="shared" si="1"/>
        <v>7.1999999999999993</v>
      </c>
      <c r="L6" s="213">
        <f t="shared" si="1"/>
        <v>720</v>
      </c>
      <c r="M6" s="213">
        <f t="shared" si="1"/>
        <v>720</v>
      </c>
      <c r="N6" s="213">
        <f t="shared" si="1"/>
        <v>180</v>
      </c>
      <c r="O6" s="213">
        <f t="shared" si="1"/>
        <v>10.799999999999999</v>
      </c>
      <c r="P6" s="213">
        <f t="shared" si="1"/>
        <v>8.4</v>
      </c>
      <c r="Q6" s="213">
        <f t="shared" si="1"/>
        <v>0.06</v>
      </c>
    </row>
    <row r="7" spans="1:17" ht="30" customHeight="1" x14ac:dyDescent="0.25">
      <c r="A7" s="437">
        <v>0.85</v>
      </c>
      <c r="B7" s="219" t="s">
        <v>93</v>
      </c>
      <c r="C7" s="213">
        <f>C3*0.85</f>
        <v>65.45</v>
      </c>
      <c r="D7" s="213">
        <f t="shared" ref="D7:Q7" si="2">D3*0.85</f>
        <v>67.149999999999991</v>
      </c>
      <c r="E7" s="213">
        <f t="shared" si="2"/>
        <v>284.75</v>
      </c>
      <c r="F7" s="213">
        <f t="shared" si="2"/>
        <v>1997.5</v>
      </c>
      <c r="G7" s="213">
        <f t="shared" si="2"/>
        <v>1.02</v>
      </c>
      <c r="H7" s="213">
        <f t="shared" si="2"/>
        <v>1.19</v>
      </c>
      <c r="I7" s="213">
        <f t="shared" si="2"/>
        <v>51</v>
      </c>
      <c r="J7" s="213">
        <f t="shared" si="2"/>
        <v>595</v>
      </c>
      <c r="K7" s="213">
        <f t="shared" si="2"/>
        <v>8.5</v>
      </c>
      <c r="L7" s="213">
        <f t="shared" si="2"/>
        <v>935</v>
      </c>
      <c r="M7" s="213">
        <f t="shared" si="2"/>
        <v>935</v>
      </c>
      <c r="N7" s="213">
        <f t="shared" si="2"/>
        <v>212.5</v>
      </c>
      <c r="O7" s="213">
        <f t="shared" si="2"/>
        <v>10.199999999999999</v>
      </c>
      <c r="P7" s="213">
        <f t="shared" si="2"/>
        <v>8.5</v>
      </c>
      <c r="Q7" s="213">
        <f t="shared" si="2"/>
        <v>8.5000000000000006E-2</v>
      </c>
    </row>
    <row r="8" spans="1:17" ht="30" customHeight="1" x14ac:dyDescent="0.25">
      <c r="A8" s="438"/>
      <c r="B8" s="219" t="s">
        <v>104</v>
      </c>
      <c r="C8" s="213">
        <f>C4*0.85</f>
        <v>76.5</v>
      </c>
      <c r="D8" s="213">
        <f t="shared" ref="D8:Q8" si="3">D4*0.85</f>
        <v>78.2</v>
      </c>
      <c r="E8" s="213">
        <f t="shared" si="3"/>
        <v>325.55</v>
      </c>
      <c r="F8" s="213">
        <f t="shared" si="3"/>
        <v>2312</v>
      </c>
      <c r="G8" s="213">
        <f t="shared" si="3"/>
        <v>1.19</v>
      </c>
      <c r="H8" s="213">
        <f t="shared" si="3"/>
        <v>1.36</v>
      </c>
      <c r="I8" s="213">
        <f t="shared" si="3"/>
        <v>59.5</v>
      </c>
      <c r="J8" s="213">
        <f t="shared" si="3"/>
        <v>765</v>
      </c>
      <c r="K8" s="213">
        <f t="shared" si="3"/>
        <v>10.199999999999999</v>
      </c>
      <c r="L8" s="213">
        <f t="shared" si="3"/>
        <v>1020</v>
      </c>
      <c r="M8" s="213">
        <f t="shared" si="3"/>
        <v>1020</v>
      </c>
      <c r="N8" s="213">
        <f t="shared" si="3"/>
        <v>255</v>
      </c>
      <c r="O8" s="213">
        <f t="shared" si="3"/>
        <v>15.299999999999999</v>
      </c>
      <c r="P8" s="213">
        <f t="shared" si="3"/>
        <v>11.9</v>
      </c>
      <c r="Q8" s="213">
        <f t="shared" si="3"/>
        <v>8.5000000000000006E-2</v>
      </c>
    </row>
    <row r="10" spans="1:17" ht="50.1" customHeight="1" x14ac:dyDescent="0.25">
      <c r="A10" s="432" t="s">
        <v>90</v>
      </c>
      <c r="B10" s="432"/>
      <c r="C10" s="432"/>
      <c r="D10" s="432"/>
      <c r="E10" s="432"/>
      <c r="F10" s="127"/>
    </row>
    <row r="11" spans="1:17" ht="50.1" customHeight="1" x14ac:dyDescent="0.25">
      <c r="A11" s="216" t="s">
        <v>91</v>
      </c>
      <c r="B11" s="209" t="s">
        <v>94</v>
      </c>
      <c r="C11" s="216" t="s">
        <v>96</v>
      </c>
      <c r="D11" s="216" t="s">
        <v>98</v>
      </c>
      <c r="E11" s="216" t="s">
        <v>99</v>
      </c>
      <c r="F11" s="216" t="s">
        <v>100</v>
      </c>
    </row>
    <row r="12" spans="1:17" ht="30" customHeight="1" x14ac:dyDescent="0.25">
      <c r="A12" s="431" t="s">
        <v>92</v>
      </c>
      <c r="B12" s="215" t="s">
        <v>95</v>
      </c>
      <c r="C12" s="215" t="s">
        <v>97</v>
      </c>
      <c r="D12" s="126">
        <v>0.1</v>
      </c>
      <c r="E12" s="215" t="s">
        <v>95</v>
      </c>
      <c r="F12" s="126">
        <v>1</v>
      </c>
    </row>
    <row r="13" spans="1:17" ht="30" customHeight="1" x14ac:dyDescent="0.25">
      <c r="A13" s="431"/>
      <c r="B13" s="79">
        <v>25</v>
      </c>
      <c r="C13" s="79">
        <v>35</v>
      </c>
      <c r="D13" s="79">
        <v>15</v>
      </c>
      <c r="E13" s="79">
        <v>25</v>
      </c>
      <c r="F13" s="79">
        <v>100</v>
      </c>
    </row>
    <row r="14" spans="1:17" ht="30" customHeight="1" x14ac:dyDescent="0.25">
      <c r="A14" s="218" t="s">
        <v>93</v>
      </c>
      <c r="B14" s="213">
        <f>F3*B13/F13</f>
        <v>587.5</v>
      </c>
      <c r="C14" s="213">
        <f>F3*C13/F13</f>
        <v>822.5</v>
      </c>
      <c r="D14" s="213">
        <f>F3*D13/F13</f>
        <v>352.5</v>
      </c>
      <c r="E14" s="213">
        <f>F3*E13/F13</f>
        <v>587.5</v>
      </c>
      <c r="F14" s="213">
        <f>SUM(B14:E14)</f>
        <v>2350</v>
      </c>
    </row>
    <row r="15" spans="1:17" ht="30" customHeight="1" x14ac:dyDescent="0.25">
      <c r="A15" s="219" t="s">
        <v>104</v>
      </c>
      <c r="B15" s="213">
        <f>F4*B13/F13</f>
        <v>680</v>
      </c>
      <c r="C15" s="213">
        <f>F4*C13/F13</f>
        <v>952</v>
      </c>
      <c r="D15" s="213">
        <f>F4*D13/F13</f>
        <v>408</v>
      </c>
      <c r="E15" s="213">
        <f>F4*E13/F13</f>
        <v>680</v>
      </c>
      <c r="F15" s="213">
        <f>SUM(B15:E15)</f>
        <v>2720</v>
      </c>
    </row>
    <row r="16" spans="1:17" ht="30" customHeight="1" x14ac:dyDescent="0.25"/>
    <row r="19" spans="1:2" x14ac:dyDescent="0.25">
      <c r="A19" s="66" t="s">
        <v>887</v>
      </c>
    </row>
    <row r="20" spans="1:2" x14ac:dyDescent="0.25">
      <c r="A20" s="208" t="s">
        <v>172</v>
      </c>
    </row>
    <row r="21" spans="1:2" ht="15.75" customHeight="1" x14ac:dyDescent="0.25">
      <c r="A21" s="208" t="s">
        <v>886</v>
      </c>
    </row>
    <row r="23" spans="1:2" x14ac:dyDescent="0.25">
      <c r="A23" s="66" t="s">
        <v>888</v>
      </c>
    </row>
    <row r="24" spans="1:2" x14ac:dyDescent="0.25">
      <c r="A24" s="211" t="s">
        <v>951</v>
      </c>
      <c r="B24" s="211"/>
    </row>
    <row r="25" spans="1:2" x14ac:dyDescent="0.25">
      <c r="A25" s="211" t="s">
        <v>889</v>
      </c>
      <c r="B25" s="211"/>
    </row>
  </sheetData>
  <mergeCells count="7">
    <mergeCell ref="A12:A13"/>
    <mergeCell ref="A1:Q1"/>
    <mergeCell ref="A2:B2"/>
    <mergeCell ref="A10:E10"/>
    <mergeCell ref="A3:A4"/>
    <mergeCell ref="A5:A6"/>
    <mergeCell ref="A7:A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heetViews>
  <sheetFormatPr defaultRowHeight="15" x14ac:dyDescent="0.25"/>
  <cols>
    <col min="1" max="16384" width="9.140625" style="122"/>
  </cols>
  <sheetData>
    <row r="1" spans="1:15" x14ac:dyDescent="0.25">
      <c r="A1" s="125"/>
      <c r="B1" s="125"/>
      <c r="C1" s="125"/>
      <c r="D1" s="125"/>
      <c r="E1" s="125"/>
      <c r="F1" s="125"/>
      <c r="G1" s="125"/>
      <c r="H1" s="125"/>
      <c r="I1" s="125"/>
      <c r="J1" s="125"/>
      <c r="K1" s="125"/>
      <c r="L1" s="125"/>
      <c r="M1" s="125"/>
      <c r="N1" s="125"/>
      <c r="O1" s="125"/>
    </row>
    <row r="2" spans="1:15" x14ac:dyDescent="0.25">
      <c r="A2" s="125"/>
      <c r="B2" s="414" t="s">
        <v>93</v>
      </c>
      <c r="C2" s="414"/>
      <c r="D2" s="414"/>
      <c r="E2" s="414"/>
      <c r="F2" s="414"/>
      <c r="G2" s="414"/>
      <c r="H2" s="414"/>
      <c r="I2" s="414"/>
      <c r="J2" s="414"/>
      <c r="K2" s="414"/>
      <c r="L2" s="414"/>
      <c r="M2" s="414"/>
      <c r="N2" s="414"/>
      <c r="O2" s="125"/>
    </row>
    <row r="3" spans="1:15" ht="25.5" x14ac:dyDescent="0.25">
      <c r="A3" s="35"/>
      <c r="B3" s="36"/>
      <c r="C3" s="37"/>
      <c r="D3" s="38" t="s">
        <v>63</v>
      </c>
      <c r="E3" s="38" t="s">
        <v>64</v>
      </c>
      <c r="F3" s="38" t="s">
        <v>65</v>
      </c>
      <c r="G3" s="38" t="s">
        <v>66</v>
      </c>
      <c r="H3" s="39"/>
      <c r="I3" s="38" t="s">
        <v>67</v>
      </c>
      <c r="J3" s="279" t="s">
        <v>1035</v>
      </c>
      <c r="K3" s="38" t="s">
        <v>69</v>
      </c>
      <c r="L3" s="38" t="s">
        <v>70</v>
      </c>
      <c r="M3" s="125"/>
      <c r="N3" s="113"/>
      <c r="O3" s="113"/>
    </row>
    <row r="4" spans="1:15" x14ac:dyDescent="0.25">
      <c r="A4" s="35"/>
      <c r="B4" s="442" t="s">
        <v>71</v>
      </c>
      <c r="C4" s="442"/>
      <c r="D4" s="42">
        <f>'12 дней с 12 до 18 лет'!T11</f>
        <v>0</v>
      </c>
      <c r="E4" s="42">
        <f>'12 дней с 12 до 18 лет'!U11</f>
        <v>0</v>
      </c>
      <c r="F4" s="42">
        <f>'12 дней с 12 до 18 лет'!V11</f>
        <v>0</v>
      </c>
      <c r="G4" s="42">
        <f>'12 дней с 12 до 18 лет'!W11</f>
        <v>0</v>
      </c>
      <c r="H4" s="114"/>
      <c r="I4" s="40" t="e">
        <f>SUM(J4:L4)</f>
        <v>#REF!</v>
      </c>
      <c r="J4" s="41">
        <f>'12 дней с 12 до 18 лет'!AB9</f>
        <v>670.85</v>
      </c>
      <c r="K4" s="41" t="e">
        <f>'12 дней с 12 до 18 лет'!AB10</f>
        <v>#REF!</v>
      </c>
      <c r="L4" s="41"/>
      <c r="M4" s="125"/>
      <c r="N4" s="113"/>
      <c r="O4" s="113"/>
    </row>
    <row r="5" spans="1:15" x14ac:dyDescent="0.25">
      <c r="A5" s="35"/>
      <c r="B5" s="442" t="s">
        <v>72</v>
      </c>
      <c r="C5" s="442"/>
      <c r="D5" s="42">
        <f>'12 дней с 12 до 18 лет'!T37</f>
        <v>0</v>
      </c>
      <c r="E5" s="42">
        <f>'12 дней с 12 до 18 лет'!U37</f>
        <v>0</v>
      </c>
      <c r="F5" s="42">
        <f>'12 дней с 12 до 18 лет'!V37</f>
        <v>0</v>
      </c>
      <c r="G5" s="42">
        <f>'12 дней с 12 до 18 лет'!W37</f>
        <v>0</v>
      </c>
      <c r="H5" s="114"/>
      <c r="I5" s="40">
        <f t="shared" ref="I5:I15" si="0">SUM(J5:L5)</f>
        <v>0</v>
      </c>
      <c r="J5" s="41">
        <f>'12 дней с 12 до 18 лет'!AB35</f>
        <v>0</v>
      </c>
      <c r="K5" s="41">
        <f>'12 дней с 12 до 18 лет'!AB36</f>
        <v>0</v>
      </c>
      <c r="L5" s="41"/>
      <c r="M5" s="125"/>
      <c r="N5" s="113"/>
      <c r="O5" s="113"/>
    </row>
    <row r="6" spans="1:15" x14ac:dyDescent="0.25">
      <c r="A6" s="35"/>
      <c r="B6" s="442" t="s">
        <v>73</v>
      </c>
      <c r="C6" s="442"/>
      <c r="D6" s="42">
        <f>'12 дней с 12 до 18 лет'!T62</f>
        <v>0</v>
      </c>
      <c r="E6" s="42">
        <f>'12 дней с 12 до 18 лет'!U62</f>
        <v>0</v>
      </c>
      <c r="F6" s="42">
        <f>'12 дней с 12 до 18 лет'!V62</f>
        <v>0</v>
      </c>
      <c r="G6" s="42">
        <f>'12 дней с 12 до 18 лет'!W62</f>
        <v>0</v>
      </c>
      <c r="H6" s="114"/>
      <c r="I6" s="40" t="e">
        <f t="shared" si="0"/>
        <v>#REF!</v>
      </c>
      <c r="J6" s="41" t="e">
        <f>'12 дней с 12 до 18 лет'!AB57</f>
        <v>#REF!</v>
      </c>
      <c r="K6" s="41" t="e">
        <f>'12 дней с 12 до 18 лет'!AB59</f>
        <v>#REF!</v>
      </c>
      <c r="L6" s="41"/>
      <c r="M6" s="125"/>
      <c r="N6" s="113"/>
      <c r="O6" s="113"/>
    </row>
    <row r="7" spans="1:15" x14ac:dyDescent="0.25">
      <c r="A7" s="35"/>
      <c r="B7" s="442" t="s">
        <v>74</v>
      </c>
      <c r="C7" s="442"/>
      <c r="D7" s="42">
        <f>'12 дней с 12 до 18 лет'!T77</f>
        <v>0</v>
      </c>
      <c r="E7" s="42">
        <f>'12 дней с 12 до 18 лет'!U77</f>
        <v>0</v>
      </c>
      <c r="F7" s="42">
        <f>'12 дней с 12 до 18 лет'!V77</f>
        <v>0</v>
      </c>
      <c r="G7" s="42">
        <f>'12 дней с 12 до 18 лет'!W77</f>
        <v>0</v>
      </c>
      <c r="H7" s="114"/>
      <c r="I7" s="40" t="e">
        <f t="shared" si="0"/>
        <v>#REF!</v>
      </c>
      <c r="J7" s="41" t="e">
        <f>'12 дней с 12 до 18 лет'!AB75</f>
        <v>#REF!</v>
      </c>
      <c r="K7" s="41" t="e">
        <f>'12 дней с 12 до 18 лет'!#REF!</f>
        <v>#REF!</v>
      </c>
      <c r="L7" s="41"/>
      <c r="M7" s="125"/>
      <c r="N7" s="113"/>
      <c r="O7" s="113"/>
    </row>
    <row r="8" spans="1:15" x14ac:dyDescent="0.25">
      <c r="A8" s="43"/>
      <c r="B8" s="442" t="s">
        <v>75</v>
      </c>
      <c r="C8" s="442"/>
      <c r="D8" s="42">
        <f>'12 дней с 12 до 18 лет'!T99</f>
        <v>0</v>
      </c>
      <c r="E8" s="42">
        <f>'12 дней с 12 до 18 лет'!U99</f>
        <v>0</v>
      </c>
      <c r="F8" s="42">
        <f>'12 дней с 12 до 18 лет'!V99</f>
        <v>0</v>
      </c>
      <c r="G8" s="42">
        <f>'12 дней с 12 до 18 лет'!W99</f>
        <v>0</v>
      </c>
      <c r="H8" s="114"/>
      <c r="I8" s="40" t="e">
        <f t="shared" si="0"/>
        <v>#REF!</v>
      </c>
      <c r="J8" s="41" t="e">
        <f>'12 дней с 12 до 18 лет'!#REF!</f>
        <v>#REF!</v>
      </c>
      <c r="K8" s="41">
        <f>'12 дней с 12 до 18 лет'!AB98</f>
        <v>0</v>
      </c>
      <c r="L8" s="41"/>
      <c r="M8" s="125"/>
      <c r="N8" s="113"/>
      <c r="O8" s="113"/>
    </row>
    <row r="9" spans="1:15" x14ac:dyDescent="0.25">
      <c r="A9" s="113"/>
      <c r="B9" s="442" t="s">
        <v>76</v>
      </c>
      <c r="C9" s="442"/>
      <c r="D9" s="42" t="e">
        <f>'12 дней с 12 до 18 лет'!#REF!</f>
        <v>#REF!</v>
      </c>
      <c r="E9" s="42" t="e">
        <f>'12 дней с 12 до 18 лет'!#REF!</f>
        <v>#REF!</v>
      </c>
      <c r="F9" s="42" t="e">
        <f>'12 дней с 12 до 18 лет'!#REF!</f>
        <v>#REF!</v>
      </c>
      <c r="G9" s="42" t="e">
        <f>'12 дней с 12 до 18 лет'!#REF!</f>
        <v>#REF!</v>
      </c>
      <c r="H9" s="114"/>
      <c r="I9" s="40" t="e">
        <f t="shared" si="0"/>
        <v>#REF!</v>
      </c>
      <c r="J9" s="41">
        <f>'12 дней с 12 до 18 лет'!AB120</f>
        <v>0</v>
      </c>
      <c r="K9" s="41" t="e">
        <f>'12 дней с 12 до 18 лет'!#REF!</f>
        <v>#REF!</v>
      </c>
      <c r="L9" s="41"/>
      <c r="M9" s="125"/>
      <c r="N9" s="113"/>
      <c r="O9" s="113"/>
    </row>
    <row r="10" spans="1:15" x14ac:dyDescent="0.25">
      <c r="A10" s="113"/>
      <c r="B10" s="442" t="s">
        <v>77</v>
      </c>
      <c r="C10" s="442"/>
      <c r="D10" s="42">
        <f>'12 дней с 12 до 18 лет'!T141</f>
        <v>0</v>
      </c>
      <c r="E10" s="42">
        <f>'12 дней с 12 до 18 лет'!U141</f>
        <v>0</v>
      </c>
      <c r="F10" s="42">
        <f>'12 дней с 12 до 18 лет'!V141</f>
        <v>0</v>
      </c>
      <c r="G10" s="42">
        <f>'12 дней с 12 до 18 лет'!W141</f>
        <v>0</v>
      </c>
      <c r="H10" s="114"/>
      <c r="I10" s="40" t="e">
        <f t="shared" si="0"/>
        <v>#REF!</v>
      </c>
      <c r="J10" s="41" t="e">
        <f>'12 дней с 12 до 18 лет'!#REF!</f>
        <v>#REF!</v>
      </c>
      <c r="K10" s="41" t="e">
        <f>'12 дней с 12 до 18 лет'!#REF!</f>
        <v>#REF!</v>
      </c>
      <c r="L10" s="41"/>
      <c r="M10" s="125"/>
      <c r="N10" s="113"/>
      <c r="O10" s="113"/>
    </row>
    <row r="11" spans="1:15" x14ac:dyDescent="0.25">
      <c r="A11" s="35"/>
      <c r="B11" s="442" t="s">
        <v>78</v>
      </c>
      <c r="C11" s="442"/>
      <c r="D11" s="42">
        <f>'12 дней с 12 до 18 лет'!T161</f>
        <v>0</v>
      </c>
      <c r="E11" s="42">
        <f>'12 дней с 12 до 18 лет'!U161</f>
        <v>0</v>
      </c>
      <c r="F11" s="42">
        <f>'12 дней с 12 до 18 лет'!V161</f>
        <v>0</v>
      </c>
      <c r="G11" s="42">
        <f>'12 дней с 12 до 18 лет'!W161</f>
        <v>0</v>
      </c>
      <c r="H11" s="114"/>
      <c r="I11" s="40" t="e">
        <f t="shared" si="0"/>
        <v>#REF!</v>
      </c>
      <c r="J11" s="41">
        <f>'12 дней с 12 до 18 лет'!AB159</f>
        <v>0</v>
      </c>
      <c r="K11" s="41" t="e">
        <f>'12 дней с 12 до 18 лет'!#REF!</f>
        <v>#REF!</v>
      </c>
      <c r="L11" s="41"/>
      <c r="M11" s="125"/>
      <c r="N11" s="113"/>
      <c r="O11" s="113"/>
    </row>
    <row r="12" spans="1:15" x14ac:dyDescent="0.25">
      <c r="A12" s="35"/>
      <c r="B12" s="442" t="s">
        <v>79</v>
      </c>
      <c r="C12" s="442"/>
      <c r="D12" s="42">
        <f>'12 дней с 12 до 18 лет'!T183</f>
        <v>0</v>
      </c>
      <c r="E12" s="42">
        <f>'12 дней с 12 до 18 лет'!U183</f>
        <v>0</v>
      </c>
      <c r="F12" s="42">
        <f>'12 дней с 12 до 18 лет'!V183</f>
        <v>0</v>
      </c>
      <c r="G12" s="42">
        <f>'12 дней с 12 до 18 лет'!W183</f>
        <v>0</v>
      </c>
      <c r="H12" s="114"/>
      <c r="I12" s="40" t="e">
        <f t="shared" si="0"/>
        <v>#REF!</v>
      </c>
      <c r="J12" s="41" t="e">
        <f>'12 дней с 12 до 18 лет'!#REF!</f>
        <v>#REF!</v>
      </c>
      <c r="K12" s="41">
        <f>'12 дней с 12 до 18 лет'!AB182</f>
        <v>0</v>
      </c>
      <c r="L12" s="41"/>
      <c r="M12" s="125"/>
      <c r="N12" s="113"/>
      <c r="O12" s="113"/>
    </row>
    <row r="13" spans="1:15" x14ac:dyDescent="0.25">
      <c r="A13" s="35"/>
      <c r="B13" s="442" t="s">
        <v>80</v>
      </c>
      <c r="C13" s="442"/>
      <c r="D13" s="42">
        <f>'12 дней с 12 до 18 лет'!T203</f>
        <v>0</v>
      </c>
      <c r="E13" s="42">
        <f>'12 дней с 12 до 18 лет'!U203</f>
        <v>0</v>
      </c>
      <c r="F13" s="42">
        <f>'12 дней с 12 до 18 лет'!V203</f>
        <v>0</v>
      </c>
      <c r="G13" s="42">
        <f>'12 дней с 12 до 18 лет'!W203</f>
        <v>0</v>
      </c>
      <c r="H13" s="114"/>
      <c r="I13" s="40" t="e">
        <f t="shared" si="0"/>
        <v>#REF!</v>
      </c>
      <c r="J13" s="41">
        <f>'12 дней с 12 до 18 лет'!AB201</f>
        <v>0</v>
      </c>
      <c r="K13" s="41" t="e">
        <f>'12 дней с 12 до 18 лет'!#REF!</f>
        <v>#REF!</v>
      </c>
      <c r="L13" s="41"/>
      <c r="M13" s="125"/>
      <c r="N13" s="113"/>
      <c r="O13" s="113"/>
    </row>
    <row r="14" spans="1:15" x14ac:dyDescent="0.25">
      <c r="A14" s="35"/>
      <c r="B14" s="442" t="s">
        <v>81</v>
      </c>
      <c r="C14" s="442"/>
      <c r="D14" s="42">
        <f>'12 дней с 12 до 18 лет'!T224</f>
        <v>0</v>
      </c>
      <c r="E14" s="42">
        <f>'12 дней с 12 до 18 лет'!U224</f>
        <v>0</v>
      </c>
      <c r="F14" s="42">
        <f>'12 дней с 12 до 18 лет'!V224</f>
        <v>0</v>
      </c>
      <c r="G14" s="42">
        <f>'12 дней с 12 до 18 лет'!W224</f>
        <v>0</v>
      </c>
      <c r="H14" s="114"/>
      <c r="I14" s="40" t="e">
        <f t="shared" si="0"/>
        <v>#REF!</v>
      </c>
      <c r="J14" s="41" t="e">
        <f>'12 дней с 12 до 18 лет'!#REF!</f>
        <v>#REF!</v>
      </c>
      <c r="K14" s="41" t="e">
        <f>'12 дней с 12 до 18 лет'!#REF!</f>
        <v>#REF!</v>
      </c>
      <c r="L14" s="41"/>
      <c r="M14" s="125"/>
      <c r="N14" s="113"/>
      <c r="O14" s="113"/>
    </row>
    <row r="15" spans="1:15" x14ac:dyDescent="0.25">
      <c r="A15" s="35"/>
      <c r="B15" s="442" t="s">
        <v>82</v>
      </c>
      <c r="C15" s="442"/>
      <c r="D15" s="42" t="e">
        <f>'12 дней с 12 до 18 лет'!#REF!</f>
        <v>#REF!</v>
      </c>
      <c r="E15" s="42" t="e">
        <f>'12 дней с 12 до 18 лет'!#REF!</f>
        <v>#REF!</v>
      </c>
      <c r="F15" s="42" t="e">
        <f>'12 дней с 12 до 18 лет'!#REF!</f>
        <v>#REF!</v>
      </c>
      <c r="G15" s="42" t="e">
        <f>'12 дней с 12 до 18 лет'!#REF!</f>
        <v>#REF!</v>
      </c>
      <c r="H15" s="114"/>
      <c r="I15" s="40" t="e">
        <f t="shared" si="0"/>
        <v>#REF!</v>
      </c>
      <c r="J15" s="41">
        <f>'12 дней с 12 до 18 лет'!AB243</f>
        <v>0</v>
      </c>
      <c r="K15" s="41" t="e">
        <f>'12 дней с 12 до 18 лет'!#REF!</f>
        <v>#REF!</v>
      </c>
      <c r="L15" s="41"/>
      <c r="M15" s="125"/>
      <c r="N15" s="113"/>
      <c r="O15" s="113"/>
    </row>
    <row r="16" spans="1:15" x14ac:dyDescent="0.25">
      <c r="A16" s="113"/>
      <c r="B16" s="44"/>
      <c r="C16" s="45"/>
      <c r="D16" s="46" t="e">
        <f>SUM(D4:D15)</f>
        <v>#REF!</v>
      </c>
      <c r="E16" s="46" t="e">
        <f>SUM(E4:E15)</f>
        <v>#REF!</v>
      </c>
      <c r="F16" s="46" t="e">
        <f>SUM(F4:F15)</f>
        <v>#REF!</v>
      </c>
      <c r="G16" s="46" t="e">
        <f>SUM(G4:G15)</f>
        <v>#REF!</v>
      </c>
      <c r="H16" s="47">
        <v>12</v>
      </c>
      <c r="I16" s="46" t="e">
        <f>SUM(I4:I15)</f>
        <v>#REF!</v>
      </c>
      <c r="J16" s="46" t="e">
        <f>SUM(J4:J15)</f>
        <v>#REF!</v>
      </c>
      <c r="K16" s="46" t="e">
        <f>SUM(K4:K15)</f>
        <v>#REF!</v>
      </c>
      <c r="L16" s="46">
        <f>SUM(L4:L15)</f>
        <v>0</v>
      </c>
      <c r="M16" s="125"/>
      <c r="N16" s="113"/>
      <c r="O16" s="113"/>
    </row>
    <row r="17" spans="1:15" x14ac:dyDescent="0.25">
      <c r="A17" s="113"/>
      <c r="B17" s="36"/>
      <c r="C17" s="45"/>
      <c r="D17" s="48" t="e">
        <f>D16/H16</f>
        <v>#REF!</v>
      </c>
      <c r="E17" s="48" t="e">
        <f>E16/H16</f>
        <v>#REF!</v>
      </c>
      <c r="F17" s="48" t="e">
        <f>F16/H16</f>
        <v>#REF!</v>
      </c>
      <c r="G17" s="48" t="e">
        <f>G16/H16</f>
        <v>#REF!</v>
      </c>
      <c r="H17" s="49" t="s">
        <v>83</v>
      </c>
      <c r="I17" s="48" t="e">
        <f>I16/H16</f>
        <v>#REF!</v>
      </c>
      <c r="J17" s="48" t="e">
        <f>J16/H16</f>
        <v>#REF!</v>
      </c>
      <c r="K17" s="48" t="e">
        <f>K16/H16</f>
        <v>#REF!</v>
      </c>
      <c r="L17" s="48">
        <f>L16/H16</f>
        <v>0</v>
      </c>
      <c r="M17" s="125"/>
      <c r="N17" s="113"/>
      <c r="O17" s="113"/>
    </row>
    <row r="18" spans="1:15" x14ac:dyDescent="0.25">
      <c r="A18" s="113"/>
      <c r="B18" s="113"/>
      <c r="C18" s="50"/>
      <c r="D18" s="50"/>
      <c r="E18" s="50"/>
      <c r="F18" s="50"/>
      <c r="G18" s="50"/>
      <c r="H18" s="113"/>
      <c r="I18" s="113"/>
      <c r="J18" s="51"/>
      <c r="K18" s="113"/>
      <c r="L18" s="113"/>
      <c r="M18" s="125"/>
      <c r="N18" s="113"/>
      <c r="O18" s="113"/>
    </row>
    <row r="19" spans="1:15" x14ac:dyDescent="0.25">
      <c r="A19" s="113"/>
      <c r="B19" s="439" t="s">
        <v>93</v>
      </c>
      <c r="C19" s="439"/>
      <c r="D19" s="53">
        <f>VLOOKUP($B19,нормы!B3:F4, 2, FALSE)</f>
        <v>77</v>
      </c>
      <c r="E19" s="53">
        <f>VLOOKUP($B19,нормы!B3:F4, 3, FALSE)</f>
        <v>79</v>
      </c>
      <c r="F19" s="53">
        <f>VLOOKUP($B19,нормы!B3:F4, 4, FALSE)</f>
        <v>335</v>
      </c>
      <c r="G19" s="52">
        <f>VLOOKUP($B19,нормы!B3:F4, 5, FALSE)</f>
        <v>2350</v>
      </c>
      <c r="H19" s="113"/>
      <c r="I19" s="54" t="s">
        <v>84</v>
      </c>
      <c r="J19" s="54" t="s">
        <v>85</v>
      </c>
      <c r="K19" s="54" t="s">
        <v>86</v>
      </c>
      <c r="L19" s="54" t="s">
        <v>84</v>
      </c>
      <c r="M19" s="55" t="s">
        <v>87</v>
      </c>
      <c r="N19" s="55" t="s">
        <v>88</v>
      </c>
      <c r="O19" s="113"/>
    </row>
    <row r="20" spans="1:15" x14ac:dyDescent="0.25">
      <c r="A20" s="113"/>
      <c r="B20" s="440">
        <v>0.6</v>
      </c>
      <c r="C20" s="440"/>
      <c r="D20" s="56">
        <f>D19*B20</f>
        <v>46.199999999999996</v>
      </c>
      <c r="E20" s="56">
        <f>E19*B20</f>
        <v>47.4</v>
      </c>
      <c r="F20" s="56">
        <f>F19*B20</f>
        <v>201</v>
      </c>
      <c r="G20" s="56">
        <f>G19*B20</f>
        <v>1410</v>
      </c>
      <c r="H20" s="113"/>
      <c r="I20" s="57">
        <v>25</v>
      </c>
      <c r="J20" s="57">
        <f>VLOOKUP($B19,нормы!A14:F15, 2, FALSE)</f>
        <v>587.5</v>
      </c>
      <c r="K20" s="58" t="e">
        <f>J17</f>
        <v>#REF!</v>
      </c>
      <c r="L20" s="58" t="e">
        <f>K20*100/J20</f>
        <v>#REF!</v>
      </c>
      <c r="M20" s="59" t="e">
        <f>L20-100</f>
        <v>#REF!</v>
      </c>
      <c r="N20" s="60" t="e">
        <f>K20*I23/K23</f>
        <v>#REF!</v>
      </c>
      <c r="O20" s="51"/>
    </row>
    <row r="21" spans="1:15" x14ac:dyDescent="0.25">
      <c r="A21" s="113"/>
      <c r="B21" s="441" t="s">
        <v>89</v>
      </c>
      <c r="C21" s="441"/>
      <c r="D21" s="62" t="e">
        <f>(D17*100/D20)-100</f>
        <v>#REF!</v>
      </c>
      <c r="E21" s="62" t="e">
        <f>(E17*100/E20)-100</f>
        <v>#REF!</v>
      </c>
      <c r="F21" s="62" t="e">
        <f>(F17*100/F20)-100</f>
        <v>#REF!</v>
      </c>
      <c r="G21" s="62" t="e">
        <f>(G17*100/G20)-100</f>
        <v>#REF!</v>
      </c>
      <c r="H21" s="113"/>
      <c r="I21" s="57">
        <v>35</v>
      </c>
      <c r="J21" s="57">
        <f>VLOOKUP($B19,нормы!A14:F15, 3, FALSE)</f>
        <v>822.5</v>
      </c>
      <c r="K21" s="58" t="e">
        <f>K17</f>
        <v>#REF!</v>
      </c>
      <c r="L21" s="58" t="e">
        <f>K21*100/J21</f>
        <v>#REF!</v>
      </c>
      <c r="M21" s="59" t="e">
        <f>L21-100</f>
        <v>#REF!</v>
      </c>
      <c r="N21" s="60" t="e">
        <f>K21*I23/K23</f>
        <v>#REF!</v>
      </c>
      <c r="O21" s="51"/>
    </row>
    <row r="22" spans="1:15" x14ac:dyDescent="0.25">
      <c r="A22" s="113"/>
      <c r="B22" s="113"/>
      <c r="C22" s="61"/>
      <c r="D22" s="62"/>
      <c r="E22" s="62"/>
      <c r="F22" s="62"/>
      <c r="G22" s="62"/>
      <c r="H22" s="113"/>
      <c r="I22" s="57"/>
      <c r="J22" s="57"/>
      <c r="K22" s="58"/>
      <c r="L22" s="58"/>
      <c r="M22" s="59"/>
      <c r="N22" s="60"/>
      <c r="O22" s="51"/>
    </row>
    <row r="23" spans="1:15" x14ac:dyDescent="0.25">
      <c r="A23" s="113"/>
      <c r="B23" s="113"/>
      <c r="C23" s="63"/>
      <c r="D23" s="64">
        <f>D20*H16</f>
        <v>554.4</v>
      </c>
      <c r="E23" s="64">
        <f>E20*H16</f>
        <v>568.79999999999995</v>
      </c>
      <c r="F23" s="64">
        <f>F20*H16</f>
        <v>2412</v>
      </c>
      <c r="G23" s="64">
        <f>G20*H16</f>
        <v>16920</v>
      </c>
      <c r="H23" s="113"/>
      <c r="I23" s="57">
        <f>SUM(I20:I22)</f>
        <v>60</v>
      </c>
      <c r="J23" s="57">
        <f>SUM(J20:J22)</f>
        <v>1410</v>
      </c>
      <c r="K23" s="58" t="e">
        <f>SUM(K20:K22)</f>
        <v>#REF!</v>
      </c>
      <c r="L23" s="58" t="e">
        <f>K23*100/J23</f>
        <v>#REF!</v>
      </c>
      <c r="M23" s="59" t="e">
        <f>L23-100</f>
        <v>#REF!</v>
      </c>
      <c r="N23" s="60"/>
      <c r="O23" s="51"/>
    </row>
    <row r="24" spans="1:15" x14ac:dyDescent="0.25">
      <c r="A24" s="113"/>
      <c r="B24" s="113"/>
      <c r="C24" s="63"/>
      <c r="D24" s="65" t="e">
        <f>D16-D23</f>
        <v>#REF!</v>
      </c>
      <c r="E24" s="65" t="e">
        <f>E16-E23</f>
        <v>#REF!</v>
      </c>
      <c r="F24" s="65" t="e">
        <f>F16-F23</f>
        <v>#REF!</v>
      </c>
      <c r="G24" s="65" t="e">
        <f>G16-G23</f>
        <v>#REF!</v>
      </c>
      <c r="H24" s="113"/>
      <c r="O24" s="113"/>
    </row>
  </sheetData>
  <mergeCells count="16">
    <mergeCell ref="B2:N2"/>
    <mergeCell ref="B19:C19"/>
    <mergeCell ref="B20:C20"/>
    <mergeCell ref="B21:C21"/>
    <mergeCell ref="B15:C15"/>
    <mergeCell ref="B4:C4"/>
    <mergeCell ref="B5:C5"/>
    <mergeCell ref="B6:C6"/>
    <mergeCell ref="B7:C7"/>
    <mergeCell ref="B8:C8"/>
    <mergeCell ref="B9:C9"/>
    <mergeCell ref="B10:C10"/>
    <mergeCell ref="B11:C11"/>
    <mergeCell ref="B12:C12"/>
    <mergeCell ref="B13:C13"/>
    <mergeCell ref="B14:C14"/>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нормы!$B$3:$B$4</xm:f>
          </x14:formula1>
          <xm:sqref>B19:C19</xm:sqref>
        </x14:dataValidation>
        <x14:dataValidation type="list" allowBlank="1" showInputMessage="1" showErrorMessage="1">
          <x14:formula1>
            <xm:f>нормы!$B$5:$B$6</xm:f>
          </x14:formula1>
          <xm:sqref>B2:N2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topLeftCell="A55" workbookViewId="0">
      <selection activeCell="A77" sqref="A77"/>
    </sheetView>
  </sheetViews>
  <sheetFormatPr defaultRowHeight="15" x14ac:dyDescent="0.25"/>
  <cols>
    <col min="1" max="1" width="65.7109375" style="197" customWidth="1"/>
    <col min="2" max="16" width="9.7109375" style="23" customWidth="1"/>
    <col min="17" max="18" width="9.7109375" style="138" customWidth="1"/>
    <col min="19" max="19" width="9.7109375" style="23" customWidth="1"/>
    <col min="20" max="16384" width="9.140625" style="23"/>
  </cols>
  <sheetData>
    <row r="1" spans="1:19" ht="18.95" customHeight="1" thickBot="1" x14ac:dyDescent="0.3">
      <c r="A1" s="443" t="s">
        <v>0</v>
      </c>
      <c r="B1" s="443"/>
      <c r="C1" s="443"/>
      <c r="D1" s="443"/>
      <c r="E1" s="443"/>
      <c r="F1" s="443"/>
      <c r="G1" s="443"/>
      <c r="H1" s="443"/>
      <c r="I1" s="443"/>
      <c r="J1" s="443"/>
      <c r="K1" s="443"/>
      <c r="L1" s="443"/>
      <c r="M1" s="443"/>
      <c r="N1" s="443"/>
      <c r="O1" s="443"/>
      <c r="P1" s="443"/>
      <c r="Q1" s="443"/>
      <c r="R1" s="443"/>
      <c r="S1" s="443"/>
    </row>
    <row r="2" spans="1:19" ht="18.95" customHeight="1" thickBot="1" x14ac:dyDescent="0.3">
      <c r="A2" s="447" t="s">
        <v>1</v>
      </c>
      <c r="B2" s="444" t="s">
        <v>2</v>
      </c>
      <c r="C2" s="446"/>
      <c r="D2" s="449" t="s">
        <v>3</v>
      </c>
      <c r="E2" s="451" t="s">
        <v>4</v>
      </c>
      <c r="F2" s="452"/>
      <c r="G2" s="452"/>
      <c r="H2" s="453"/>
      <c r="I2" s="451" t="s">
        <v>5</v>
      </c>
      <c r="J2" s="452"/>
      <c r="K2" s="452"/>
      <c r="L2" s="453"/>
      <c r="M2" s="451" t="s">
        <v>6</v>
      </c>
      <c r="N2" s="452"/>
      <c r="O2" s="452"/>
      <c r="P2" s="453"/>
      <c r="Q2" s="444" t="s">
        <v>7</v>
      </c>
      <c r="R2" s="445"/>
      <c r="S2" s="446"/>
    </row>
    <row r="3" spans="1:19" ht="59.1" customHeight="1" thickBot="1" x14ac:dyDescent="0.3">
      <c r="A3" s="448"/>
      <c r="B3" s="2" t="s">
        <v>8</v>
      </c>
      <c r="C3" s="3" t="s">
        <v>9</v>
      </c>
      <c r="D3" s="450"/>
      <c r="E3" s="16" t="s">
        <v>10</v>
      </c>
      <c r="F3" s="16" t="s">
        <v>11</v>
      </c>
      <c r="G3" s="16" t="s">
        <v>12</v>
      </c>
      <c r="H3" s="16" t="s">
        <v>13</v>
      </c>
      <c r="I3" s="5" t="s">
        <v>14</v>
      </c>
      <c r="J3" s="5" t="s">
        <v>15</v>
      </c>
      <c r="K3" s="183" t="s">
        <v>16</v>
      </c>
      <c r="L3" s="5" t="s">
        <v>1002</v>
      </c>
      <c r="M3" s="5" t="s">
        <v>18</v>
      </c>
      <c r="N3" s="5" t="s">
        <v>19</v>
      </c>
      <c r="O3" s="5" t="s">
        <v>20</v>
      </c>
      <c r="P3" s="5" t="s">
        <v>21</v>
      </c>
      <c r="Q3" s="7" t="s">
        <v>22</v>
      </c>
      <c r="R3" s="8" t="s">
        <v>23</v>
      </c>
      <c r="S3" s="3" t="s">
        <v>24</v>
      </c>
    </row>
    <row r="4" spans="1:19" s="95" customFormat="1" ht="18.95" customHeight="1" x14ac:dyDescent="0.25">
      <c r="A4" s="128" t="s">
        <v>144</v>
      </c>
      <c r="B4" s="10">
        <v>2</v>
      </c>
      <c r="C4" s="10">
        <v>3</v>
      </c>
      <c r="D4" s="10">
        <v>4</v>
      </c>
      <c r="E4" s="10">
        <v>5</v>
      </c>
      <c r="F4" s="10">
        <v>6</v>
      </c>
      <c r="G4" s="10">
        <v>7</v>
      </c>
      <c r="H4" s="10">
        <v>8</v>
      </c>
      <c r="I4" s="10">
        <v>9</v>
      </c>
      <c r="J4" s="10">
        <v>10</v>
      </c>
      <c r="K4" s="10">
        <v>11</v>
      </c>
      <c r="L4" s="10">
        <v>12</v>
      </c>
      <c r="M4" s="10">
        <v>13</v>
      </c>
      <c r="N4" s="10">
        <v>14</v>
      </c>
      <c r="O4" s="10">
        <v>15</v>
      </c>
      <c r="P4" s="10">
        <v>16</v>
      </c>
      <c r="Q4" s="10">
        <v>17</v>
      </c>
      <c r="R4" s="130" t="s">
        <v>25</v>
      </c>
      <c r="S4" s="10" t="s">
        <v>25</v>
      </c>
    </row>
    <row r="5" spans="1:19" s="95" customFormat="1" ht="18.95" customHeight="1" x14ac:dyDescent="0.25">
      <c r="A5" s="129" t="s">
        <v>145</v>
      </c>
      <c r="B5" s="187">
        <v>50</v>
      </c>
      <c r="C5" s="187">
        <v>50</v>
      </c>
      <c r="D5" s="11">
        <f>B5</f>
        <v>50</v>
      </c>
      <c r="E5" s="12">
        <f>D5*E6/D6</f>
        <v>6.27</v>
      </c>
      <c r="F5" s="12">
        <f>F6*D5/D6</f>
        <v>7.86</v>
      </c>
      <c r="G5" s="12">
        <f>G6*D5/D6</f>
        <v>14.83</v>
      </c>
      <c r="H5" s="12">
        <f>H6*D5/D6</f>
        <v>155</v>
      </c>
      <c r="I5" s="12">
        <f>I6*D5/D6</f>
        <v>0.04</v>
      </c>
      <c r="J5" s="12">
        <f>J6*D5/D6</f>
        <v>0.11</v>
      </c>
      <c r="K5" s="12">
        <f>K6*D5/D6</f>
        <v>51.5</v>
      </c>
      <c r="L5" s="12">
        <f>L6*D5/D6</f>
        <v>0</v>
      </c>
      <c r="M5" s="12">
        <f>M6*D5/D6</f>
        <v>157.19999999999999</v>
      </c>
      <c r="N5" s="12">
        <f>N6*D5/D6</f>
        <v>111</v>
      </c>
      <c r="O5" s="12">
        <f>O6*D5/D6</f>
        <v>12.45</v>
      </c>
      <c r="P5" s="12">
        <f>P6*D5/D6</f>
        <v>0.4</v>
      </c>
      <c r="Q5" s="136">
        <v>3</v>
      </c>
      <c r="R5" s="136">
        <v>2011</v>
      </c>
      <c r="S5" s="10"/>
    </row>
    <row r="6" spans="1:19" s="95" customFormat="1" ht="18.95" customHeight="1" x14ac:dyDescent="0.25">
      <c r="A6" s="196"/>
      <c r="B6" s="187"/>
      <c r="C6" s="187"/>
      <c r="D6" s="186">
        <v>50</v>
      </c>
      <c r="E6" s="186">
        <v>6.27</v>
      </c>
      <c r="F6" s="186">
        <v>7.86</v>
      </c>
      <c r="G6" s="186">
        <v>14.83</v>
      </c>
      <c r="H6" s="186">
        <v>155</v>
      </c>
      <c r="I6" s="187">
        <v>0.04</v>
      </c>
      <c r="J6" s="187">
        <v>0.11</v>
      </c>
      <c r="K6" s="187">
        <v>51.5</v>
      </c>
      <c r="L6" s="187"/>
      <c r="M6" s="187">
        <v>157.19999999999999</v>
      </c>
      <c r="N6" s="187">
        <v>111</v>
      </c>
      <c r="O6" s="187">
        <v>12.45</v>
      </c>
      <c r="P6" s="187">
        <v>0.4</v>
      </c>
      <c r="Q6" s="130"/>
      <c r="R6" s="130"/>
      <c r="S6" s="10"/>
    </row>
    <row r="7" spans="1:19" s="95" customFormat="1" ht="18.95" customHeight="1" x14ac:dyDescent="0.25">
      <c r="A7" s="129" t="s">
        <v>1029</v>
      </c>
      <c r="B7" s="187">
        <v>60</v>
      </c>
      <c r="C7" s="187">
        <v>50</v>
      </c>
      <c r="D7" s="11">
        <f>B7</f>
        <v>60</v>
      </c>
      <c r="E7" s="12">
        <v>1.93</v>
      </c>
      <c r="F7" s="12">
        <f>F8*D7/D8</f>
        <v>0.15</v>
      </c>
      <c r="G7" s="12">
        <f>G8*D7/D8</f>
        <v>3.2160000000000002</v>
      </c>
      <c r="H7" s="12">
        <f>H8*D7/D8</f>
        <v>53.76</v>
      </c>
      <c r="I7" s="12">
        <f>I8*D7/D8</f>
        <v>0.03</v>
      </c>
      <c r="J7" s="12">
        <f>J8*D7/D8</f>
        <v>2.6280000000000001</v>
      </c>
      <c r="K7" s="12">
        <f>K8*D7/D8</f>
        <v>0</v>
      </c>
      <c r="L7" s="12">
        <f>L8*D7/D8</f>
        <v>0</v>
      </c>
      <c r="M7" s="12">
        <f>M8*D7/D8</f>
        <v>15.545999999999999</v>
      </c>
      <c r="N7" s="12">
        <f>N8*D7/D8</f>
        <v>13.481999999999998</v>
      </c>
      <c r="O7" s="12">
        <f>O8*D7/D8</f>
        <v>10.98</v>
      </c>
      <c r="P7" s="12">
        <f>P8*D7/D8</f>
        <v>0.57599999999999996</v>
      </c>
      <c r="Q7" s="130" t="s">
        <v>1030</v>
      </c>
      <c r="R7" s="130">
        <v>2011</v>
      </c>
      <c r="S7" s="10"/>
    </row>
    <row r="8" spans="1:19" s="95" customFormat="1" ht="18.95" customHeight="1" x14ac:dyDescent="0.25">
      <c r="A8" s="196"/>
      <c r="B8" s="187"/>
      <c r="C8" s="187"/>
      <c r="D8" s="186">
        <v>100</v>
      </c>
      <c r="E8" s="186">
        <v>1.53</v>
      </c>
      <c r="F8" s="186">
        <v>0.25</v>
      </c>
      <c r="G8" s="186">
        <v>5.36</v>
      </c>
      <c r="H8" s="186">
        <v>89.6</v>
      </c>
      <c r="I8" s="187">
        <v>0.05</v>
      </c>
      <c r="J8" s="187">
        <v>4.38</v>
      </c>
      <c r="K8" s="187">
        <v>0</v>
      </c>
      <c r="L8" s="187">
        <v>0</v>
      </c>
      <c r="M8" s="187">
        <v>25.91</v>
      </c>
      <c r="N8" s="187">
        <v>22.47</v>
      </c>
      <c r="O8" s="187">
        <v>18.3</v>
      </c>
      <c r="P8" s="187">
        <v>0.96</v>
      </c>
      <c r="Q8" s="130"/>
      <c r="R8" s="130"/>
      <c r="S8" s="10"/>
    </row>
    <row r="9" spans="1:19" s="95" customFormat="1" ht="18.95" customHeight="1" x14ac:dyDescent="0.25">
      <c r="A9" s="129" t="s">
        <v>880</v>
      </c>
      <c r="B9" s="187">
        <v>50</v>
      </c>
      <c r="C9" s="187">
        <v>50</v>
      </c>
      <c r="D9" s="11">
        <f>B9</f>
        <v>50</v>
      </c>
      <c r="E9" s="12">
        <f>D9*E10/D10</f>
        <v>6.03</v>
      </c>
      <c r="F9" s="12">
        <f>F10*D9/D10</f>
        <v>3.67</v>
      </c>
      <c r="G9" s="12">
        <f>G10*D9/D10</f>
        <v>14.84</v>
      </c>
      <c r="H9" s="12">
        <f>H10*D9/D10</f>
        <v>117</v>
      </c>
      <c r="I9" s="12">
        <f>I10*D9/D10</f>
        <v>0</v>
      </c>
      <c r="J9" s="12">
        <f>J10*D9/D10</f>
        <v>0.06</v>
      </c>
      <c r="K9" s="12">
        <f>K10*D9/D10</f>
        <v>31.5</v>
      </c>
      <c r="L9" s="12">
        <f>L10*D9/D10</f>
        <v>0</v>
      </c>
      <c r="M9" s="12">
        <f>M10*D9/D10</f>
        <v>150</v>
      </c>
      <c r="N9" s="12">
        <f>N10*D9/D10</f>
        <v>90</v>
      </c>
      <c r="O9" s="12">
        <f>O10*D9/D10</f>
        <v>8.25</v>
      </c>
      <c r="P9" s="12">
        <f>P10*D9/D10</f>
        <v>0.11</v>
      </c>
      <c r="Q9" s="136">
        <v>7</v>
      </c>
      <c r="R9" s="136">
        <v>2011</v>
      </c>
      <c r="S9" s="13"/>
    </row>
    <row r="10" spans="1:19" s="95" customFormat="1" ht="18.95" customHeight="1" x14ac:dyDescent="0.25">
      <c r="A10" s="129"/>
      <c r="B10" s="187"/>
      <c r="C10" s="187"/>
      <c r="D10" s="186">
        <v>50</v>
      </c>
      <c r="E10" s="186">
        <v>6.03</v>
      </c>
      <c r="F10" s="186">
        <v>3.67</v>
      </c>
      <c r="G10" s="186">
        <v>14.84</v>
      </c>
      <c r="H10" s="186">
        <v>117</v>
      </c>
      <c r="I10" s="187">
        <v>0</v>
      </c>
      <c r="J10" s="187">
        <v>0.06</v>
      </c>
      <c r="K10" s="187">
        <v>31.5</v>
      </c>
      <c r="L10" s="187"/>
      <c r="M10" s="187">
        <v>150</v>
      </c>
      <c r="N10" s="187">
        <v>90</v>
      </c>
      <c r="O10" s="187">
        <v>8.25</v>
      </c>
      <c r="P10" s="187">
        <v>0.11</v>
      </c>
      <c r="Q10" s="136"/>
      <c r="R10" s="136"/>
      <c r="S10" s="13"/>
    </row>
    <row r="11" spans="1:19" s="95" customFormat="1" ht="18.95" customHeight="1" x14ac:dyDescent="0.25">
      <c r="A11" s="129" t="s">
        <v>895</v>
      </c>
      <c r="B11" s="187">
        <v>10</v>
      </c>
      <c r="C11" s="187">
        <v>10</v>
      </c>
      <c r="D11" s="11">
        <f>B11</f>
        <v>10</v>
      </c>
      <c r="E11" s="12">
        <f>D11*E12/D12</f>
        <v>0.08</v>
      </c>
      <c r="F11" s="12">
        <f>F12*D11/D12</f>
        <v>7.25</v>
      </c>
      <c r="G11" s="12">
        <f>G12*D11/D12</f>
        <v>0.13</v>
      </c>
      <c r="H11" s="12">
        <f>H12*D11/D12</f>
        <v>66</v>
      </c>
      <c r="I11" s="12">
        <f>I12*D11/D12</f>
        <v>0</v>
      </c>
      <c r="J11" s="12">
        <f>J12*D11/D12</f>
        <v>0</v>
      </c>
      <c r="K11" s="12">
        <f>K12*D11/D12</f>
        <v>40</v>
      </c>
      <c r="L11" s="12">
        <f>L12*D11/D12</f>
        <v>0</v>
      </c>
      <c r="M11" s="12">
        <f>M12*D11/D12</f>
        <v>2.4</v>
      </c>
      <c r="N11" s="12">
        <f>N12*D11/D12</f>
        <v>3</v>
      </c>
      <c r="O11" s="12">
        <f>O12*D11/D12</f>
        <v>0</v>
      </c>
      <c r="P11" s="12">
        <f>P12*D11/D12</f>
        <v>0.02</v>
      </c>
      <c r="Q11" s="136">
        <v>14</v>
      </c>
      <c r="R11" s="136">
        <v>2011</v>
      </c>
      <c r="S11" s="13"/>
    </row>
    <row r="12" spans="1:19" s="95" customFormat="1" ht="18.95" customHeight="1" x14ac:dyDescent="0.25">
      <c r="A12" s="129"/>
      <c r="B12" s="187"/>
      <c r="C12" s="187"/>
      <c r="D12" s="186">
        <v>10</v>
      </c>
      <c r="E12" s="186">
        <v>0.08</v>
      </c>
      <c r="F12" s="186">
        <v>7.25</v>
      </c>
      <c r="G12" s="186">
        <v>0.13</v>
      </c>
      <c r="H12" s="186">
        <v>66</v>
      </c>
      <c r="I12" s="187">
        <v>0</v>
      </c>
      <c r="J12" s="187">
        <v>0</v>
      </c>
      <c r="K12" s="187">
        <v>40</v>
      </c>
      <c r="L12" s="187"/>
      <c r="M12" s="187">
        <v>2.4</v>
      </c>
      <c r="N12" s="187">
        <v>3</v>
      </c>
      <c r="O12" s="187">
        <v>0</v>
      </c>
      <c r="P12" s="187">
        <v>0.02</v>
      </c>
      <c r="Q12" s="136"/>
      <c r="R12" s="136"/>
      <c r="S12" s="13"/>
    </row>
    <row r="13" spans="1:19" s="95" customFormat="1" ht="18.95" customHeight="1" x14ac:dyDescent="0.25">
      <c r="A13" s="131" t="s">
        <v>26</v>
      </c>
      <c r="B13" s="187">
        <v>20</v>
      </c>
      <c r="C13" s="187">
        <v>30</v>
      </c>
      <c r="D13" s="11">
        <f>B13</f>
        <v>20</v>
      </c>
      <c r="E13" s="12">
        <f>D13*E14/D14</f>
        <v>5.26</v>
      </c>
      <c r="F13" s="12">
        <f>F14*D13/D14</f>
        <v>5.3200000000000012</v>
      </c>
      <c r="G13" s="12">
        <f>G14*D13/D14</f>
        <v>0</v>
      </c>
      <c r="H13" s="12">
        <f>H14*D13/D14</f>
        <v>68.666666666666671</v>
      </c>
      <c r="I13" s="12">
        <f>I14*D13/D14</f>
        <v>6.6666666666666671E-3</v>
      </c>
      <c r="J13" s="12">
        <f>J14*D13/D14</f>
        <v>0.14000000000000001</v>
      </c>
      <c r="K13" s="12">
        <f>K14*D13/D14</f>
        <v>42</v>
      </c>
      <c r="L13" s="12">
        <f>L14*D13/D14</f>
        <v>0</v>
      </c>
      <c r="M13" s="12">
        <f>M14*D13/D14</f>
        <v>200</v>
      </c>
      <c r="N13" s="12">
        <f>N14*D13/D14</f>
        <v>120</v>
      </c>
      <c r="O13" s="12">
        <f>O14*D13/D14</f>
        <v>11</v>
      </c>
      <c r="P13" s="12">
        <f>P14*D13/D14</f>
        <v>0.14000000000000001</v>
      </c>
      <c r="Q13" s="136">
        <v>15</v>
      </c>
      <c r="R13" s="136">
        <v>2011</v>
      </c>
      <c r="S13" s="187"/>
    </row>
    <row r="14" spans="1:19" s="95" customFormat="1" ht="18.95" customHeight="1" x14ac:dyDescent="0.25">
      <c r="A14" s="132"/>
      <c r="B14" s="187"/>
      <c r="C14" s="13"/>
      <c r="D14" s="186">
        <v>30</v>
      </c>
      <c r="E14" s="186">
        <v>7.89</v>
      </c>
      <c r="F14" s="186">
        <v>7.98</v>
      </c>
      <c r="G14" s="186">
        <v>0</v>
      </c>
      <c r="H14" s="186">
        <v>103</v>
      </c>
      <c r="I14" s="186">
        <v>0.01</v>
      </c>
      <c r="J14" s="186">
        <v>0.21</v>
      </c>
      <c r="K14" s="186">
        <v>63</v>
      </c>
      <c r="L14" s="186"/>
      <c r="M14" s="186">
        <v>300</v>
      </c>
      <c r="N14" s="186">
        <v>180</v>
      </c>
      <c r="O14" s="186">
        <v>16.5</v>
      </c>
      <c r="P14" s="186">
        <v>0.21</v>
      </c>
      <c r="Q14" s="136"/>
      <c r="R14" s="136"/>
      <c r="S14" s="13"/>
    </row>
    <row r="15" spans="1:19" s="95" customFormat="1" ht="18.95" customHeight="1" x14ac:dyDescent="0.25">
      <c r="A15" s="384" t="s">
        <v>1112</v>
      </c>
      <c r="B15" s="187">
        <v>30</v>
      </c>
      <c r="C15" s="187">
        <v>30</v>
      </c>
      <c r="D15" s="11">
        <f>B15</f>
        <v>30</v>
      </c>
      <c r="E15" s="12">
        <f>D15*E16/D16</f>
        <v>6.78</v>
      </c>
      <c r="F15" s="12">
        <f>F16*D15/D16</f>
        <v>6.27</v>
      </c>
      <c r="G15" s="12">
        <f>G16*D15/D16</f>
        <v>0</v>
      </c>
      <c r="H15" s="12">
        <f>H16*D15/D16</f>
        <v>84</v>
      </c>
      <c r="I15" s="12">
        <f>I16*D15/D16</f>
        <v>0</v>
      </c>
      <c r="J15" s="12">
        <f>J16*D15/D16</f>
        <v>0</v>
      </c>
      <c r="K15" s="12">
        <f>K16*D15/D16</f>
        <v>0.78</v>
      </c>
      <c r="L15" s="12">
        <f>L16*D15/D16</f>
        <v>0</v>
      </c>
      <c r="M15" s="12">
        <f>M16*D15/D16</f>
        <v>3.6</v>
      </c>
      <c r="N15" s="12">
        <f>N16*D15/D16</f>
        <v>80.400000000000006</v>
      </c>
      <c r="O15" s="12">
        <f>O16*D15/D16</f>
        <v>10.5</v>
      </c>
      <c r="P15" s="12">
        <f>P16*D15/D16</f>
        <v>0</v>
      </c>
      <c r="Q15" s="136">
        <v>16</v>
      </c>
      <c r="R15" s="136">
        <v>2011</v>
      </c>
      <c r="S15" s="13"/>
    </row>
    <row r="16" spans="1:19" s="95" customFormat="1" ht="18.95" customHeight="1" x14ac:dyDescent="0.25">
      <c r="A16" s="129"/>
      <c r="B16" s="13"/>
      <c r="C16" s="187"/>
      <c r="D16" s="186">
        <v>30</v>
      </c>
      <c r="E16" s="186">
        <v>6.78</v>
      </c>
      <c r="F16" s="186">
        <v>6.27</v>
      </c>
      <c r="G16" s="186">
        <v>0</v>
      </c>
      <c r="H16" s="186">
        <v>84</v>
      </c>
      <c r="I16" s="186">
        <v>0</v>
      </c>
      <c r="J16" s="186">
        <v>0</v>
      </c>
      <c r="K16" s="186">
        <v>0.78</v>
      </c>
      <c r="L16" s="186"/>
      <c r="M16" s="186">
        <v>3.6</v>
      </c>
      <c r="N16" s="186">
        <v>80.400000000000006</v>
      </c>
      <c r="O16" s="186">
        <v>10.5</v>
      </c>
      <c r="P16" s="186">
        <v>0</v>
      </c>
      <c r="Q16" s="136"/>
      <c r="R16" s="136"/>
      <c r="S16" s="13"/>
    </row>
    <row r="17" spans="1:19" s="95" customFormat="1" ht="18.95" customHeight="1" x14ac:dyDescent="0.25">
      <c r="A17" s="129" t="s">
        <v>146</v>
      </c>
      <c r="B17" s="187">
        <v>60</v>
      </c>
      <c r="C17" s="187">
        <v>100</v>
      </c>
      <c r="D17" s="11">
        <f>B17</f>
        <v>60</v>
      </c>
      <c r="E17" s="12">
        <f>D17*E18/D18</f>
        <v>0.45059999999999995</v>
      </c>
      <c r="F17" s="12">
        <f>F18*D17/D18</f>
        <v>3.6102000000000003</v>
      </c>
      <c r="G17" s="12">
        <f>G18*D17/D18</f>
        <v>1.4081999999999999</v>
      </c>
      <c r="H17" s="12">
        <f>H18*D17/D18</f>
        <v>39.96</v>
      </c>
      <c r="I17" s="12">
        <f>I18*D17/D18</f>
        <v>1.6800000000000002E-2</v>
      </c>
      <c r="J17" s="12">
        <f>J18*D17/D18</f>
        <v>2.9963999999999995</v>
      </c>
      <c r="K17" s="12">
        <f>K18*D17/D18</f>
        <v>0</v>
      </c>
      <c r="L17" s="12">
        <f>L18*D17/D18</f>
        <v>0</v>
      </c>
      <c r="M17" s="12">
        <f>M18*D17/D18</f>
        <v>13.3932</v>
      </c>
      <c r="N17" s="12">
        <f>N18*D17/D18</f>
        <v>23.754000000000001</v>
      </c>
      <c r="O17" s="12">
        <f>O18*D17/D18</f>
        <v>7.9116</v>
      </c>
      <c r="P17" s="12">
        <f>P18*D17/D18</f>
        <v>0.34379999999999999</v>
      </c>
      <c r="Q17" s="136">
        <v>20</v>
      </c>
      <c r="R17" s="136">
        <v>2011</v>
      </c>
      <c r="S17" s="13"/>
    </row>
    <row r="18" spans="1:19" s="95" customFormat="1" ht="18.95" customHeight="1" x14ac:dyDescent="0.25">
      <c r="A18" s="129"/>
      <c r="B18" s="187"/>
      <c r="C18" s="187"/>
      <c r="D18" s="186">
        <v>1000</v>
      </c>
      <c r="E18" s="186">
        <v>7.51</v>
      </c>
      <c r="F18" s="186">
        <v>60.17</v>
      </c>
      <c r="G18" s="186">
        <v>23.47</v>
      </c>
      <c r="H18" s="186">
        <v>666</v>
      </c>
      <c r="I18" s="187">
        <v>0.28000000000000003</v>
      </c>
      <c r="J18" s="187">
        <v>49.94</v>
      </c>
      <c r="K18" s="187">
        <v>0</v>
      </c>
      <c r="L18" s="187"/>
      <c r="M18" s="187">
        <v>223.22</v>
      </c>
      <c r="N18" s="187">
        <v>395.9</v>
      </c>
      <c r="O18" s="187">
        <v>131.86000000000001</v>
      </c>
      <c r="P18" s="187">
        <v>5.73</v>
      </c>
      <c r="Q18" s="136"/>
      <c r="R18" s="136"/>
      <c r="S18" s="13"/>
    </row>
    <row r="19" spans="1:19" s="95" customFormat="1" ht="18.95" customHeight="1" x14ac:dyDescent="0.25">
      <c r="A19" s="129" t="s">
        <v>1156</v>
      </c>
      <c r="B19" s="187">
        <v>60</v>
      </c>
      <c r="C19" s="187">
        <v>100</v>
      </c>
      <c r="D19" s="11">
        <f>B19</f>
        <v>60</v>
      </c>
      <c r="E19" s="12">
        <f>D19*E20/D20</f>
        <v>0.49980000000000002</v>
      </c>
      <c r="F19" s="12">
        <f>F20*D19/D20</f>
        <v>3.0186000000000002</v>
      </c>
      <c r="G19" s="12">
        <f>G20*D19/D20</f>
        <v>1.101</v>
      </c>
      <c r="H19" s="12">
        <f>H20*D19/D20</f>
        <v>33.6</v>
      </c>
      <c r="I19" s="12">
        <f>I20*D19/D20</f>
        <v>8.8200000000000001E-2</v>
      </c>
      <c r="J19" s="12">
        <f>J20*D19/D20</f>
        <v>4.2468000000000004</v>
      </c>
      <c r="K19" s="12">
        <f>K20*D19/D20</f>
        <v>0</v>
      </c>
      <c r="L19" s="12">
        <f>L20*D19/D20</f>
        <v>0</v>
      </c>
      <c r="M19" s="12">
        <f>M20*D19/D20</f>
        <v>20.376000000000001</v>
      </c>
      <c r="N19" s="12">
        <f>N20*D19/D20</f>
        <v>13.932</v>
      </c>
      <c r="O19" s="12">
        <f>O20*D19/D20</f>
        <v>8.3520000000000003</v>
      </c>
      <c r="P19" s="12">
        <f>P20*D19/D20</f>
        <v>0.38280000000000003</v>
      </c>
      <c r="Q19" s="136">
        <v>21</v>
      </c>
      <c r="R19" s="136">
        <v>2011</v>
      </c>
      <c r="S19" s="13"/>
    </row>
    <row r="20" spans="1:19" s="95" customFormat="1" ht="18.95" customHeight="1" x14ac:dyDescent="0.25">
      <c r="A20" s="129"/>
      <c r="B20" s="187"/>
      <c r="C20" s="187"/>
      <c r="D20" s="186">
        <v>1000</v>
      </c>
      <c r="E20" s="186">
        <v>8.33</v>
      </c>
      <c r="F20" s="186">
        <v>50.31</v>
      </c>
      <c r="G20" s="186">
        <v>18.350000000000001</v>
      </c>
      <c r="H20" s="186">
        <v>560</v>
      </c>
      <c r="I20" s="187">
        <v>1.47</v>
      </c>
      <c r="J20" s="187">
        <v>70.78</v>
      </c>
      <c r="K20" s="187">
        <v>0</v>
      </c>
      <c r="L20" s="187"/>
      <c r="M20" s="187">
        <v>339.6</v>
      </c>
      <c r="N20" s="187">
        <v>232.2</v>
      </c>
      <c r="O20" s="187">
        <v>139.19999999999999</v>
      </c>
      <c r="P20" s="187">
        <v>6.38</v>
      </c>
      <c r="Q20" s="136"/>
      <c r="R20" s="136"/>
      <c r="S20" s="13"/>
    </row>
    <row r="21" spans="1:19" s="95" customFormat="1" ht="18.95" customHeight="1" x14ac:dyDescent="0.25">
      <c r="A21" s="129" t="s">
        <v>1155</v>
      </c>
      <c r="B21" s="187">
        <v>60</v>
      </c>
      <c r="C21" s="187">
        <v>100</v>
      </c>
      <c r="D21" s="11">
        <f>B21</f>
        <v>60</v>
      </c>
      <c r="E21" s="12">
        <f>D21*E22/D22</f>
        <v>0.66060000000000008</v>
      </c>
      <c r="F21" s="12">
        <f>F22*D21/D22</f>
        <v>3.6665999999999999</v>
      </c>
      <c r="G21" s="12">
        <f>G22*D21/D22</f>
        <v>2.7402000000000002</v>
      </c>
      <c r="H21" s="12">
        <f>H22*D21/D22</f>
        <v>46.62</v>
      </c>
      <c r="I21" s="12">
        <f>I22*D21/D22</f>
        <v>2.8799999999999996E-2</v>
      </c>
      <c r="J21" s="12">
        <f>J22*D21/D22</f>
        <v>10.831799999999999</v>
      </c>
      <c r="K21" s="12">
        <f>K22*D21/D22</f>
        <v>0</v>
      </c>
      <c r="L21" s="12">
        <f>L22*D21/D22</f>
        <v>0</v>
      </c>
      <c r="M21" s="12">
        <f>M22*D21/D22</f>
        <v>10.642200000000001</v>
      </c>
      <c r="N21" s="12">
        <f>N22*D21/D22</f>
        <v>19.103999999999999</v>
      </c>
      <c r="O21" s="12">
        <f>O22*D21/D22</f>
        <v>10.473000000000001</v>
      </c>
      <c r="P21" s="12">
        <f>P22*D21/D22</f>
        <v>0.49920000000000003</v>
      </c>
      <c r="Q21" s="136">
        <v>23</v>
      </c>
      <c r="R21" s="136">
        <v>2011</v>
      </c>
      <c r="S21" s="13"/>
    </row>
    <row r="22" spans="1:19" s="95" customFormat="1" ht="18.95" customHeight="1" x14ac:dyDescent="0.25">
      <c r="A22" s="129"/>
      <c r="B22" s="187"/>
      <c r="C22" s="187"/>
      <c r="D22" s="186">
        <v>1000</v>
      </c>
      <c r="E22" s="186">
        <v>11.01</v>
      </c>
      <c r="F22" s="186">
        <v>61.11</v>
      </c>
      <c r="G22" s="186">
        <v>45.67</v>
      </c>
      <c r="H22" s="186">
        <v>777</v>
      </c>
      <c r="I22" s="187">
        <v>0.48</v>
      </c>
      <c r="J22" s="187">
        <v>180.53</v>
      </c>
      <c r="K22" s="187">
        <v>0</v>
      </c>
      <c r="L22" s="187"/>
      <c r="M22" s="187">
        <v>177.37</v>
      </c>
      <c r="N22" s="187">
        <v>318.39999999999998</v>
      </c>
      <c r="O22" s="187">
        <v>174.55</v>
      </c>
      <c r="P22" s="187">
        <v>8.32</v>
      </c>
      <c r="Q22" s="136"/>
      <c r="R22" s="136"/>
      <c r="S22" s="13"/>
    </row>
    <row r="23" spans="1:19" s="95" customFormat="1" ht="18.95" customHeight="1" x14ac:dyDescent="0.25">
      <c r="A23" s="129" t="s">
        <v>902</v>
      </c>
      <c r="B23" s="187">
        <v>60</v>
      </c>
      <c r="C23" s="187">
        <v>100</v>
      </c>
      <c r="D23" s="11">
        <f>B23</f>
        <v>60</v>
      </c>
      <c r="E23" s="12">
        <f>D23*E24/D24</f>
        <v>0.57840000000000014</v>
      </c>
      <c r="F23" s="12">
        <f>F24*D23/D24</f>
        <v>3.6456</v>
      </c>
      <c r="G23" s="12">
        <f>G24*D23/D24</f>
        <v>2.1875999999999998</v>
      </c>
      <c r="H23" s="12">
        <f>H24*D23/D24</f>
        <v>42.42</v>
      </c>
      <c r="I23" s="12">
        <f>I24*D23/D24</f>
        <v>2.4599999999999997E-2</v>
      </c>
      <c r="J23" s="12">
        <f>J24*D23/D24</f>
        <v>4.9506000000000006</v>
      </c>
      <c r="K23" s="12">
        <f>K24*D23/D24</f>
        <v>0</v>
      </c>
      <c r="L23" s="12">
        <f>L24*D23/D24</f>
        <v>0</v>
      </c>
      <c r="M23" s="12">
        <f>M24*D23/D24</f>
        <v>11.401200000000001</v>
      </c>
      <c r="N23" s="12">
        <f>N24*D23/D24</f>
        <v>20.349</v>
      </c>
      <c r="O23" s="12">
        <f>O24*D23/D24</f>
        <v>9.6251999999999995</v>
      </c>
      <c r="P23" s="12">
        <f>P24*D23/D24</f>
        <v>0.44339999999999996</v>
      </c>
      <c r="Q23" s="136">
        <v>24</v>
      </c>
      <c r="R23" s="136">
        <v>2011</v>
      </c>
      <c r="S23" s="13"/>
    </row>
    <row r="24" spans="1:19" s="95" customFormat="1" ht="18.95" customHeight="1" x14ac:dyDescent="0.25">
      <c r="A24" s="129"/>
      <c r="B24" s="187"/>
      <c r="C24" s="187"/>
      <c r="D24" s="186">
        <v>1000</v>
      </c>
      <c r="E24" s="186">
        <v>9.64</v>
      </c>
      <c r="F24" s="186">
        <v>60.76</v>
      </c>
      <c r="G24" s="186">
        <v>36.46</v>
      </c>
      <c r="H24" s="186">
        <v>707</v>
      </c>
      <c r="I24" s="187">
        <v>0.41</v>
      </c>
      <c r="J24" s="187">
        <v>82.51</v>
      </c>
      <c r="K24" s="187">
        <v>0</v>
      </c>
      <c r="L24" s="187"/>
      <c r="M24" s="187">
        <v>190.02</v>
      </c>
      <c r="N24" s="187">
        <v>339.15</v>
      </c>
      <c r="O24" s="187">
        <v>160.41999999999999</v>
      </c>
      <c r="P24" s="187">
        <v>7.39</v>
      </c>
      <c r="Q24" s="136"/>
      <c r="R24" s="136"/>
      <c r="S24" s="13"/>
    </row>
    <row r="25" spans="1:19" s="95" customFormat="1" ht="18.95" customHeight="1" x14ac:dyDescent="0.25">
      <c r="A25" s="129" t="s">
        <v>147</v>
      </c>
      <c r="B25" s="187">
        <v>60</v>
      </c>
      <c r="C25" s="187">
        <v>100</v>
      </c>
      <c r="D25" s="11">
        <f>B25</f>
        <v>60</v>
      </c>
      <c r="E25" s="12">
        <f>D25*E26/D26</f>
        <v>0.6552</v>
      </c>
      <c r="F25" s="12">
        <f>F26*D25/D26</f>
        <v>3.6252000000000004</v>
      </c>
      <c r="G25" s="12">
        <f>G26*D25/D26</f>
        <v>2.2662000000000004</v>
      </c>
      <c r="H25" s="12">
        <f>H26*D25/D26</f>
        <v>44.34</v>
      </c>
      <c r="I25" s="12">
        <f>I26*D25/D26</f>
        <v>1.8600000000000002E-2</v>
      </c>
      <c r="J25" s="12">
        <f>J26*D25/D26</f>
        <v>7.9272000000000009</v>
      </c>
      <c r="K25" s="12">
        <f>K26*D25/D26</f>
        <v>0</v>
      </c>
      <c r="L25" s="12">
        <f>L26*D25/D26</f>
        <v>0</v>
      </c>
      <c r="M25" s="12">
        <f>M26*D25/D26</f>
        <v>15.255000000000001</v>
      </c>
      <c r="N25" s="12">
        <f>N26*D25/D26</f>
        <v>21.375</v>
      </c>
      <c r="O25" s="12">
        <f>O26*D25/D26</f>
        <v>11.3028</v>
      </c>
      <c r="P25" s="12">
        <f>P26*D25/D26</f>
        <v>0.39779999999999999</v>
      </c>
      <c r="Q25" s="136">
        <v>29</v>
      </c>
      <c r="R25" s="136">
        <v>2011</v>
      </c>
      <c r="S25" s="13"/>
    </row>
    <row r="26" spans="1:19" s="95" customFormat="1" ht="18.95" customHeight="1" x14ac:dyDescent="0.25">
      <c r="A26" s="129"/>
      <c r="B26" s="187"/>
      <c r="C26" s="187"/>
      <c r="D26" s="186">
        <v>1000</v>
      </c>
      <c r="E26" s="186">
        <v>10.92</v>
      </c>
      <c r="F26" s="186">
        <v>60.42</v>
      </c>
      <c r="G26" s="186">
        <v>37.770000000000003</v>
      </c>
      <c r="H26" s="186">
        <v>739</v>
      </c>
      <c r="I26" s="187">
        <v>0.31</v>
      </c>
      <c r="J26" s="187">
        <v>132.12</v>
      </c>
      <c r="K26" s="187">
        <v>0</v>
      </c>
      <c r="L26" s="187"/>
      <c r="M26" s="187">
        <v>254.25</v>
      </c>
      <c r="N26" s="187">
        <v>356.25</v>
      </c>
      <c r="O26" s="187">
        <v>188.38</v>
      </c>
      <c r="P26" s="187">
        <v>6.63</v>
      </c>
      <c r="Q26" s="136"/>
      <c r="R26" s="136"/>
      <c r="S26" s="13"/>
    </row>
    <row r="27" spans="1:19" s="95" customFormat="1" ht="18.95" customHeight="1" x14ac:dyDescent="0.25">
      <c r="A27" s="129" t="s">
        <v>253</v>
      </c>
      <c r="B27" s="187">
        <v>60</v>
      </c>
      <c r="C27" s="187">
        <v>100</v>
      </c>
      <c r="D27" s="11">
        <f>B27</f>
        <v>60</v>
      </c>
      <c r="E27" s="12">
        <f>D27*E28/D28</f>
        <v>0.90900000000000003</v>
      </c>
      <c r="F27" s="12">
        <f>F28*D27/D28</f>
        <v>3.0606</v>
      </c>
      <c r="G27" s="12">
        <f>G28*D27/D28</f>
        <v>8.2482000000000006</v>
      </c>
      <c r="H27" s="12">
        <f>H28*D27/D28</f>
        <v>64.2</v>
      </c>
      <c r="I27" s="12">
        <f>I28*D27/D28</f>
        <v>4.6800000000000001E-2</v>
      </c>
      <c r="J27" s="12">
        <f>J28*D27/D28</f>
        <v>7.0254000000000003</v>
      </c>
      <c r="K27" s="12">
        <f>K28*D27/D28</f>
        <v>0</v>
      </c>
      <c r="L27" s="12">
        <f>L28*D27/D28</f>
        <v>0</v>
      </c>
      <c r="M27" s="12">
        <f>M28*D27/D28</f>
        <v>9.049199999999999</v>
      </c>
      <c r="N27" s="12">
        <f>N28*D27/D28</f>
        <v>31.147200000000002</v>
      </c>
      <c r="O27" s="12">
        <f>O28*D27/D28</f>
        <v>11.757</v>
      </c>
      <c r="P27" s="12">
        <f>P28*D27/D28</f>
        <v>0.4602</v>
      </c>
      <c r="Q27" s="136">
        <v>35</v>
      </c>
      <c r="R27" s="136">
        <v>2011</v>
      </c>
      <c r="S27" s="13"/>
    </row>
    <row r="28" spans="1:19" s="95" customFormat="1" ht="18.95" customHeight="1" x14ac:dyDescent="0.25">
      <c r="A28" s="129"/>
      <c r="B28" s="187"/>
      <c r="C28" s="187"/>
      <c r="D28" s="186">
        <v>1000</v>
      </c>
      <c r="E28" s="186">
        <v>15.15</v>
      </c>
      <c r="F28" s="186">
        <v>51.01</v>
      </c>
      <c r="G28" s="186">
        <v>137.47</v>
      </c>
      <c r="H28" s="186">
        <v>1070</v>
      </c>
      <c r="I28" s="187">
        <v>0.78</v>
      </c>
      <c r="J28" s="187">
        <v>117.09</v>
      </c>
      <c r="K28" s="187">
        <v>0</v>
      </c>
      <c r="L28" s="187"/>
      <c r="M28" s="187">
        <v>150.82</v>
      </c>
      <c r="N28" s="187">
        <v>519.12</v>
      </c>
      <c r="O28" s="187">
        <v>195.95</v>
      </c>
      <c r="P28" s="187">
        <v>7.67</v>
      </c>
      <c r="Q28" s="136"/>
      <c r="R28" s="136"/>
      <c r="S28" s="13"/>
    </row>
    <row r="29" spans="1:19" s="95" customFormat="1" ht="18.95" customHeight="1" x14ac:dyDescent="0.25">
      <c r="A29" s="129" t="s">
        <v>1158</v>
      </c>
      <c r="B29" s="187">
        <v>60</v>
      </c>
      <c r="C29" s="187">
        <v>100</v>
      </c>
      <c r="D29" s="11">
        <f>B29</f>
        <v>60</v>
      </c>
      <c r="E29" s="12">
        <f>D29*E30/D30</f>
        <v>0.8952</v>
      </c>
      <c r="F29" s="12">
        <f>F30*D29/D30</f>
        <v>4.7058</v>
      </c>
      <c r="G29" s="12">
        <f>G30*D29/D30</f>
        <v>5.5931999999999995</v>
      </c>
      <c r="H29" s="12">
        <f>H30*D29/D30</f>
        <v>68.34</v>
      </c>
      <c r="I29" s="12">
        <f>I30*D29/D30</f>
        <v>3.3000000000000002E-2</v>
      </c>
      <c r="J29" s="12">
        <f>J30*D29/D30</f>
        <v>6.5616000000000003</v>
      </c>
      <c r="K29" s="12">
        <f>K30*D29/D30</f>
        <v>0</v>
      </c>
      <c r="L29" s="12">
        <f>L30*D29/D30</f>
        <v>0</v>
      </c>
      <c r="M29" s="12">
        <f>M30*D29/D30</f>
        <v>15.263999999999999</v>
      </c>
      <c r="N29" s="12">
        <f>N30*D29/D30</f>
        <v>26.423999999999999</v>
      </c>
      <c r="O29" s="12">
        <f>O30*D29/D30</f>
        <v>9.4559999999999995</v>
      </c>
      <c r="P29" s="12">
        <f>P30*D29/D30</f>
        <v>0.4098</v>
      </c>
      <c r="Q29" s="136">
        <v>37</v>
      </c>
      <c r="R29" s="136">
        <v>2011</v>
      </c>
      <c r="S29" s="13"/>
    </row>
    <row r="30" spans="1:19" s="95" customFormat="1" ht="18.95" customHeight="1" x14ac:dyDescent="0.25">
      <c r="A30" s="129"/>
      <c r="B30" s="187"/>
      <c r="C30" s="187"/>
      <c r="D30" s="186">
        <v>1000</v>
      </c>
      <c r="E30" s="186">
        <v>14.92</v>
      </c>
      <c r="F30" s="186">
        <v>78.430000000000007</v>
      </c>
      <c r="G30" s="186">
        <v>93.22</v>
      </c>
      <c r="H30" s="186">
        <v>1139</v>
      </c>
      <c r="I30" s="187">
        <v>0.55000000000000004</v>
      </c>
      <c r="J30" s="187">
        <v>109.36</v>
      </c>
      <c r="K30" s="187">
        <v>0</v>
      </c>
      <c r="L30" s="187"/>
      <c r="M30" s="187">
        <v>254.4</v>
      </c>
      <c r="N30" s="187">
        <v>440.4</v>
      </c>
      <c r="O30" s="187">
        <v>157.6</v>
      </c>
      <c r="P30" s="187">
        <v>6.83</v>
      </c>
      <c r="Q30" s="136"/>
      <c r="R30" s="136"/>
      <c r="S30" s="13"/>
    </row>
    <row r="31" spans="1:19" s="95" customFormat="1" ht="18.95" customHeight="1" x14ac:dyDescent="0.25">
      <c r="A31" s="129" t="s">
        <v>148</v>
      </c>
      <c r="B31" s="187">
        <v>60</v>
      </c>
      <c r="C31" s="187">
        <v>100</v>
      </c>
      <c r="D31" s="11">
        <f>B31</f>
        <v>60</v>
      </c>
      <c r="E31" s="12">
        <f>D31*E32/D32</f>
        <v>1.8137999999999999</v>
      </c>
      <c r="F31" s="12">
        <f>F32*D31/D32</f>
        <v>3.8147999999999995</v>
      </c>
      <c r="G31" s="12">
        <f>G32*D31/D32</f>
        <v>14.231999999999999</v>
      </c>
      <c r="H31" s="12">
        <f>H32*D31/D32</f>
        <v>98.52</v>
      </c>
      <c r="I31" s="12">
        <f>I32*D31/D32</f>
        <v>4.9799999999999997E-2</v>
      </c>
      <c r="J31" s="12">
        <f>J32*D31/D32</f>
        <v>3.4649999999999999</v>
      </c>
      <c r="K31" s="12">
        <f>K32*D31/D32</f>
        <v>0</v>
      </c>
      <c r="L31" s="12">
        <f>L32*D31/D32</f>
        <v>0</v>
      </c>
      <c r="M31" s="12">
        <f>M32*D31/D32</f>
        <v>11.614199999999999</v>
      </c>
      <c r="N31" s="12">
        <f>N32*D31/D32</f>
        <v>23.519400000000001</v>
      </c>
      <c r="O31" s="12">
        <f>O32*D31/D32</f>
        <v>15.173999999999999</v>
      </c>
      <c r="P31" s="12">
        <f>P32*D31/D32</f>
        <v>0.71699999999999997</v>
      </c>
      <c r="Q31" s="136">
        <v>39</v>
      </c>
      <c r="R31" s="136">
        <v>2011</v>
      </c>
      <c r="S31" s="13"/>
    </row>
    <row r="32" spans="1:19" s="95" customFormat="1" ht="18.95" customHeight="1" x14ac:dyDescent="0.25">
      <c r="A32" s="129"/>
      <c r="B32" s="187"/>
      <c r="C32" s="187"/>
      <c r="D32" s="186">
        <v>1000</v>
      </c>
      <c r="E32" s="186">
        <v>30.23</v>
      </c>
      <c r="F32" s="186">
        <v>63.58</v>
      </c>
      <c r="G32" s="186">
        <v>237.2</v>
      </c>
      <c r="H32" s="186">
        <v>1642</v>
      </c>
      <c r="I32" s="187">
        <v>0.83</v>
      </c>
      <c r="J32" s="187">
        <v>57.75</v>
      </c>
      <c r="K32" s="187">
        <v>0</v>
      </c>
      <c r="L32" s="187"/>
      <c r="M32" s="187">
        <v>193.57</v>
      </c>
      <c r="N32" s="187">
        <v>391.99</v>
      </c>
      <c r="O32" s="187">
        <v>252.9</v>
      </c>
      <c r="P32" s="187">
        <v>11.95</v>
      </c>
      <c r="Q32" s="136"/>
      <c r="R32" s="136"/>
      <c r="S32" s="13"/>
    </row>
    <row r="33" spans="1:19" s="95" customFormat="1" ht="30" customHeight="1" x14ac:dyDescent="0.25">
      <c r="A33" s="133" t="s">
        <v>149</v>
      </c>
      <c r="B33" s="187">
        <v>60</v>
      </c>
      <c r="C33" s="187">
        <v>100</v>
      </c>
      <c r="D33" s="11">
        <f>B33</f>
        <v>60</v>
      </c>
      <c r="E33" s="12">
        <f>D33*E34/D34</f>
        <v>1.641</v>
      </c>
      <c r="F33" s="12">
        <f>F34*D33/D34</f>
        <v>4.2395999999999994</v>
      </c>
      <c r="G33" s="12">
        <f>G34*D33/D34</f>
        <v>5.7311999999999994</v>
      </c>
      <c r="H33" s="12">
        <f>H34*D33/D34</f>
        <v>67.62</v>
      </c>
      <c r="I33" s="12">
        <f>I34*D33/D34</f>
        <v>5.4600000000000003E-2</v>
      </c>
      <c r="J33" s="12">
        <f>J34*D33/D34</f>
        <v>5.0190000000000001</v>
      </c>
      <c r="K33" s="12">
        <f>K34*D33/D34</f>
        <v>11.88</v>
      </c>
      <c r="L33" s="12">
        <f>L34*D33/D34</f>
        <v>0</v>
      </c>
      <c r="M33" s="12">
        <f>M34*D33/D34</f>
        <v>11.733000000000001</v>
      </c>
      <c r="N33" s="12">
        <f>N34*D33/D34</f>
        <v>39.142199999999995</v>
      </c>
      <c r="O33" s="12">
        <f>O34*D33/D34</f>
        <v>14.480399999999999</v>
      </c>
      <c r="P33" s="12">
        <f>P34*D33/D34</f>
        <v>0.54</v>
      </c>
      <c r="Q33" s="136">
        <v>40</v>
      </c>
      <c r="R33" s="136">
        <v>2011</v>
      </c>
      <c r="S33" s="13"/>
    </row>
    <row r="34" spans="1:19" s="95" customFormat="1" ht="18.95" customHeight="1" x14ac:dyDescent="0.25">
      <c r="A34" s="129"/>
      <c r="B34" s="187"/>
      <c r="C34" s="187"/>
      <c r="D34" s="186">
        <v>1000</v>
      </c>
      <c r="E34" s="186">
        <v>27.35</v>
      </c>
      <c r="F34" s="186">
        <v>70.66</v>
      </c>
      <c r="G34" s="186">
        <v>95.52</v>
      </c>
      <c r="H34" s="186">
        <v>1127</v>
      </c>
      <c r="I34" s="187">
        <v>0.91</v>
      </c>
      <c r="J34" s="187">
        <v>83.65</v>
      </c>
      <c r="K34" s="187">
        <v>198</v>
      </c>
      <c r="L34" s="187"/>
      <c r="M34" s="187">
        <v>195.55</v>
      </c>
      <c r="N34" s="187">
        <v>652.37</v>
      </c>
      <c r="O34" s="187">
        <v>241.34</v>
      </c>
      <c r="P34" s="187">
        <v>9</v>
      </c>
      <c r="Q34" s="136"/>
      <c r="R34" s="136"/>
      <c r="S34" s="13"/>
    </row>
    <row r="35" spans="1:19" s="95" customFormat="1" ht="30" customHeight="1" x14ac:dyDescent="0.25">
      <c r="A35" s="133" t="s">
        <v>27</v>
      </c>
      <c r="B35" s="187">
        <v>60</v>
      </c>
      <c r="C35" s="187">
        <v>100</v>
      </c>
      <c r="D35" s="11">
        <f>B35</f>
        <v>60</v>
      </c>
      <c r="E35" s="12">
        <f>D35*E36/D36</f>
        <v>1.0488</v>
      </c>
      <c r="F35" s="12">
        <f>F36*D35/D36</f>
        <v>3.7086000000000006</v>
      </c>
      <c r="G35" s="12">
        <f>G36*D35/D36</f>
        <v>5.5469999999999997</v>
      </c>
      <c r="H35" s="12">
        <f>H36*D35/D36</f>
        <v>59.7</v>
      </c>
      <c r="I35" s="12">
        <f>I36*D35/D36</f>
        <v>4.9799999999999997E-2</v>
      </c>
      <c r="J35" s="12">
        <f>J36*D35/D36</f>
        <v>7.8258000000000001</v>
      </c>
      <c r="K35" s="12">
        <f>K36*D35/D36</f>
        <v>0</v>
      </c>
      <c r="L35" s="12">
        <f>L36*D35/D36</f>
        <v>0</v>
      </c>
      <c r="M35" s="12">
        <f>M36*D35/D36</f>
        <v>9.5465999999999998</v>
      </c>
      <c r="N35" s="12">
        <f>N36*D35/D36</f>
        <v>28.3932</v>
      </c>
      <c r="O35" s="12">
        <f>O36*D35/D36</f>
        <v>11.231399999999999</v>
      </c>
      <c r="P35" s="12">
        <f>P36*D35/D36</f>
        <v>0.44819999999999999</v>
      </c>
      <c r="Q35" s="136">
        <v>42</v>
      </c>
      <c r="R35" s="136">
        <v>2011</v>
      </c>
      <c r="S35" s="13"/>
    </row>
    <row r="36" spans="1:19" s="95" customFormat="1" ht="18.95" customHeight="1" x14ac:dyDescent="0.25">
      <c r="A36" s="129"/>
      <c r="B36" s="187"/>
      <c r="C36" s="187"/>
      <c r="D36" s="186">
        <v>1000</v>
      </c>
      <c r="E36" s="186">
        <v>17.48</v>
      </c>
      <c r="F36" s="186">
        <v>61.81</v>
      </c>
      <c r="G36" s="186">
        <v>92.45</v>
      </c>
      <c r="H36" s="186">
        <v>995</v>
      </c>
      <c r="I36" s="187">
        <v>0.83</v>
      </c>
      <c r="J36" s="187">
        <v>130.43</v>
      </c>
      <c r="K36" s="187">
        <v>0</v>
      </c>
      <c r="L36" s="187"/>
      <c r="M36" s="187">
        <v>159.11000000000001</v>
      </c>
      <c r="N36" s="187">
        <v>473.22</v>
      </c>
      <c r="O36" s="187">
        <v>187.19</v>
      </c>
      <c r="P36" s="187">
        <v>7.47</v>
      </c>
      <c r="Q36" s="136"/>
      <c r="R36" s="136"/>
      <c r="S36" s="13"/>
    </row>
    <row r="37" spans="1:19" s="95" customFormat="1" ht="18.95" customHeight="1" x14ac:dyDescent="0.25">
      <c r="A37" s="129" t="s">
        <v>150</v>
      </c>
      <c r="B37" s="187">
        <v>60</v>
      </c>
      <c r="C37" s="187">
        <v>100</v>
      </c>
      <c r="D37" s="11">
        <f>B37</f>
        <v>60</v>
      </c>
      <c r="E37" s="12">
        <f>D37*E38/D38</f>
        <v>1.5569999999999999</v>
      </c>
      <c r="F37" s="12">
        <f>F38*D37/D38</f>
        <v>4.4322000000000008</v>
      </c>
      <c r="G37" s="12">
        <f>G38*D37/D38</f>
        <v>1.9398</v>
      </c>
      <c r="H37" s="12">
        <f>H38*D37/D38</f>
        <v>53.88</v>
      </c>
      <c r="I37" s="12">
        <f>I38*D37/D38</f>
        <v>2.4E-2</v>
      </c>
      <c r="J37" s="12">
        <f>J38*D37/D38</f>
        <v>10.374000000000001</v>
      </c>
      <c r="K37" s="12">
        <f>K38*D37/D38</f>
        <v>17.760000000000002</v>
      </c>
      <c r="L37" s="12">
        <f>L38*D37/D38</f>
        <v>0</v>
      </c>
      <c r="M37" s="12">
        <f>M38*D37/D38</f>
        <v>19.926600000000001</v>
      </c>
      <c r="N37" s="12">
        <f>N38*D37/D38</f>
        <v>29.8932</v>
      </c>
      <c r="O37" s="12">
        <f>O38*D37/D38</f>
        <v>9.0258000000000003</v>
      </c>
      <c r="P37" s="12">
        <f>P38*D37/D38</f>
        <v>0.51960000000000006</v>
      </c>
      <c r="Q37" s="136">
        <v>43</v>
      </c>
      <c r="R37" s="136">
        <v>2011</v>
      </c>
      <c r="S37" s="13"/>
    </row>
    <row r="38" spans="1:19" s="95" customFormat="1" ht="18.95" customHeight="1" x14ac:dyDescent="0.25">
      <c r="A38" s="133" t="s">
        <v>1093</v>
      </c>
      <c r="B38" s="187"/>
      <c r="C38" s="187"/>
      <c r="D38" s="186">
        <v>1000</v>
      </c>
      <c r="E38" s="186">
        <v>25.95</v>
      </c>
      <c r="F38" s="186">
        <v>73.87</v>
      </c>
      <c r="G38" s="186">
        <v>32.33</v>
      </c>
      <c r="H38" s="186">
        <v>898</v>
      </c>
      <c r="I38" s="187">
        <v>0.4</v>
      </c>
      <c r="J38" s="187">
        <v>172.9</v>
      </c>
      <c r="K38" s="187">
        <v>296</v>
      </c>
      <c r="L38" s="187"/>
      <c r="M38" s="187">
        <v>332.11</v>
      </c>
      <c r="N38" s="187">
        <v>498.22</v>
      </c>
      <c r="O38" s="187">
        <v>150.43</v>
      </c>
      <c r="P38" s="187">
        <v>8.66</v>
      </c>
      <c r="Q38" s="136"/>
      <c r="R38" s="136"/>
      <c r="S38" s="13"/>
    </row>
    <row r="39" spans="1:19" s="95" customFormat="1" ht="18.95" customHeight="1" x14ac:dyDescent="0.25">
      <c r="A39" s="133" t="s">
        <v>1105</v>
      </c>
      <c r="B39" s="187">
        <v>60</v>
      </c>
      <c r="C39" s="187">
        <v>100</v>
      </c>
      <c r="D39" s="11">
        <f>B39</f>
        <v>60</v>
      </c>
      <c r="E39" s="12">
        <f>D39*E40/D40</f>
        <v>0.7871999999999999</v>
      </c>
      <c r="F39" s="12">
        <f>F40*D39/D40</f>
        <v>1.9494</v>
      </c>
      <c r="G39" s="12">
        <f>G40*D39/D40</f>
        <v>3.8795999999999999</v>
      </c>
      <c r="H39" s="12">
        <f>H40*D39/D40</f>
        <v>36.24</v>
      </c>
      <c r="I39" s="12">
        <f>I40*D39/D40</f>
        <v>1.32E-2</v>
      </c>
      <c r="J39" s="12">
        <f>J40*D39/D40</f>
        <v>10.258799999999999</v>
      </c>
      <c r="K39" s="12">
        <f>K40*D39/D40</f>
        <v>0</v>
      </c>
      <c r="L39" s="12">
        <f>L40*D39/D40</f>
        <v>0</v>
      </c>
      <c r="M39" s="12">
        <f>M40*D39/D40</f>
        <v>14.9826</v>
      </c>
      <c r="N39" s="12">
        <f>N40*D39/D40</f>
        <v>16.984200000000001</v>
      </c>
      <c r="O39" s="12">
        <f>O40*D39/D40</f>
        <v>9.0546000000000006</v>
      </c>
      <c r="P39" s="12">
        <f>P40*D39/D40</f>
        <v>0.27960000000000002</v>
      </c>
      <c r="Q39" s="136">
        <v>45</v>
      </c>
      <c r="R39" s="136">
        <v>2011</v>
      </c>
      <c r="S39" s="13"/>
    </row>
    <row r="40" spans="1:19" s="95" customFormat="1" ht="18.95" customHeight="1" x14ac:dyDescent="0.25">
      <c r="A40" s="133" t="s">
        <v>1087</v>
      </c>
      <c r="B40" s="187"/>
      <c r="C40" s="187"/>
      <c r="D40" s="186">
        <v>1000</v>
      </c>
      <c r="E40" s="186">
        <v>13.12</v>
      </c>
      <c r="F40" s="186">
        <v>32.49</v>
      </c>
      <c r="G40" s="186">
        <v>64.66</v>
      </c>
      <c r="H40" s="186">
        <v>604</v>
      </c>
      <c r="I40" s="186">
        <v>0.22</v>
      </c>
      <c r="J40" s="186">
        <v>170.98</v>
      </c>
      <c r="K40" s="186">
        <v>0</v>
      </c>
      <c r="L40" s="186"/>
      <c r="M40" s="186">
        <v>249.71</v>
      </c>
      <c r="N40" s="186">
        <v>283.07</v>
      </c>
      <c r="O40" s="186">
        <v>150.91</v>
      </c>
      <c r="P40" s="186">
        <v>4.66</v>
      </c>
      <c r="Q40" s="136"/>
      <c r="R40" s="136"/>
      <c r="S40" s="13"/>
    </row>
    <row r="41" spans="1:19" s="95" customFormat="1" ht="18.95" customHeight="1" x14ac:dyDescent="0.25">
      <c r="A41" s="129" t="s">
        <v>151</v>
      </c>
      <c r="B41" s="187">
        <v>60</v>
      </c>
      <c r="C41" s="187">
        <v>100</v>
      </c>
      <c r="D41" s="11">
        <f>B41</f>
        <v>60</v>
      </c>
      <c r="E41" s="12">
        <f>D41*E42/D42</f>
        <v>0.8448</v>
      </c>
      <c r="F41" s="12">
        <f>F42*D41/D42</f>
        <v>3.6071999999999997</v>
      </c>
      <c r="G41" s="12">
        <f>G42*D41/D42</f>
        <v>4.9560000000000004</v>
      </c>
      <c r="H41" s="12">
        <f>H42*D41/D42</f>
        <v>55.68</v>
      </c>
      <c r="I41" s="12">
        <f>I42*D41/D42</f>
        <v>1.0200000000000001E-2</v>
      </c>
      <c r="J41" s="12">
        <f>J42*D41/D42</f>
        <v>3.99</v>
      </c>
      <c r="K41" s="12">
        <f>K42*D41/D42</f>
        <v>0</v>
      </c>
      <c r="L41" s="12">
        <f>L42*D41/D42</f>
        <v>0</v>
      </c>
      <c r="M41" s="12">
        <f>M42*D41/D42</f>
        <v>21.278399999999998</v>
      </c>
      <c r="N41" s="12">
        <f>N42*D41/D42</f>
        <v>24.379200000000001</v>
      </c>
      <c r="O41" s="12">
        <f>O42*D41/D42</f>
        <v>12.417</v>
      </c>
      <c r="P41" s="12">
        <f>P42*D41/D42</f>
        <v>0.7944</v>
      </c>
      <c r="Q41" s="136">
        <v>52</v>
      </c>
      <c r="R41" s="136">
        <v>2011</v>
      </c>
      <c r="S41" s="13"/>
    </row>
    <row r="42" spans="1:19" s="95" customFormat="1" ht="18.95" customHeight="1" x14ac:dyDescent="0.25">
      <c r="A42" s="129" t="s">
        <v>1098</v>
      </c>
      <c r="B42" s="187"/>
      <c r="C42" s="187"/>
      <c r="D42" s="186">
        <v>1000</v>
      </c>
      <c r="E42" s="186">
        <v>14.08</v>
      </c>
      <c r="F42" s="186">
        <v>60.12</v>
      </c>
      <c r="G42" s="186">
        <v>82.6</v>
      </c>
      <c r="H42" s="186">
        <v>928</v>
      </c>
      <c r="I42" s="186">
        <v>0.17</v>
      </c>
      <c r="J42" s="186">
        <v>66.5</v>
      </c>
      <c r="K42" s="186">
        <v>0</v>
      </c>
      <c r="L42" s="186"/>
      <c r="M42" s="186">
        <v>354.64</v>
      </c>
      <c r="N42" s="186">
        <v>406.32</v>
      </c>
      <c r="O42" s="186">
        <v>206.95</v>
      </c>
      <c r="P42" s="186">
        <v>13.24</v>
      </c>
      <c r="Q42" s="136"/>
      <c r="R42" s="136"/>
      <c r="S42" s="13"/>
    </row>
    <row r="43" spans="1:19" s="95" customFormat="1" ht="18.95" customHeight="1" x14ac:dyDescent="0.25">
      <c r="A43" s="129" t="s">
        <v>28</v>
      </c>
      <c r="B43" s="187">
        <v>60</v>
      </c>
      <c r="C43" s="187">
        <v>100</v>
      </c>
      <c r="D43" s="11">
        <f>B43</f>
        <v>60</v>
      </c>
      <c r="E43" s="12">
        <f>D43*E44/D44</f>
        <v>0.65460000000000007</v>
      </c>
      <c r="F43" s="12">
        <f>F44*D43/D44</f>
        <v>3.6497999999999999</v>
      </c>
      <c r="G43" s="12">
        <f>G44*D43/D44</f>
        <v>6.7229999999999999</v>
      </c>
      <c r="H43" s="12">
        <f>H44*D43/D44</f>
        <v>62.34</v>
      </c>
      <c r="I43" s="12">
        <f>I44*D43/D44</f>
        <v>1.2E-2</v>
      </c>
      <c r="J43" s="12">
        <f>J44*D43/D44</f>
        <v>3.8640000000000003</v>
      </c>
      <c r="K43" s="12">
        <f>K44*D43/D44</f>
        <v>0</v>
      </c>
      <c r="L43" s="12">
        <f>L44*D43/D44</f>
        <v>0</v>
      </c>
      <c r="M43" s="12">
        <f>M44*D43/D44</f>
        <v>17.5608</v>
      </c>
      <c r="N43" s="12">
        <f>N44*D43/D44</f>
        <v>19.084799999999998</v>
      </c>
      <c r="O43" s="12">
        <f>O44*D43/D44</f>
        <v>10.0992</v>
      </c>
      <c r="P43" s="12">
        <f>P44*D43/D44</f>
        <v>0.88800000000000001</v>
      </c>
      <c r="Q43" s="136">
        <v>54</v>
      </c>
      <c r="R43" s="136">
        <v>2011</v>
      </c>
      <c r="S43" s="13"/>
    </row>
    <row r="44" spans="1:19" s="95" customFormat="1" ht="18.95" customHeight="1" x14ac:dyDescent="0.25">
      <c r="A44" s="129"/>
      <c r="B44" s="187"/>
      <c r="C44" s="187"/>
      <c r="D44" s="186">
        <v>1000</v>
      </c>
      <c r="E44" s="186">
        <v>10.91</v>
      </c>
      <c r="F44" s="186">
        <v>60.83</v>
      </c>
      <c r="G44" s="186">
        <v>112.05</v>
      </c>
      <c r="H44" s="186">
        <v>1039</v>
      </c>
      <c r="I44" s="187">
        <v>0.2</v>
      </c>
      <c r="J44" s="187">
        <v>64.400000000000006</v>
      </c>
      <c r="K44" s="187">
        <v>0</v>
      </c>
      <c r="L44" s="187"/>
      <c r="M44" s="187">
        <v>292.68</v>
      </c>
      <c r="N44" s="187">
        <v>318.08</v>
      </c>
      <c r="O44" s="187">
        <v>168.32</v>
      </c>
      <c r="P44" s="187">
        <v>14.8</v>
      </c>
      <c r="Q44" s="136"/>
      <c r="R44" s="136"/>
      <c r="S44" s="13"/>
    </row>
    <row r="45" spans="1:19" s="95" customFormat="1" ht="18.95" customHeight="1" x14ac:dyDescent="0.25">
      <c r="A45" s="129" t="s">
        <v>29</v>
      </c>
      <c r="B45" s="187">
        <v>60</v>
      </c>
      <c r="C45" s="187">
        <v>100</v>
      </c>
      <c r="D45" s="11">
        <f>B45</f>
        <v>60</v>
      </c>
      <c r="E45" s="12">
        <f>D45*E46/D46</f>
        <v>0.85320000000000007</v>
      </c>
      <c r="F45" s="12">
        <f>F46*D45/D46</f>
        <v>3.6162000000000001</v>
      </c>
      <c r="G45" s="12">
        <f>G46*D45/D46</f>
        <v>3.7650000000000001</v>
      </c>
      <c r="H45" s="12">
        <f>H46*D45/D46</f>
        <v>51</v>
      </c>
      <c r="I45" s="12">
        <f>I46*D45/D46</f>
        <v>1.7399999999999999E-2</v>
      </c>
      <c r="J45" s="12">
        <f>J46*D45/D46</f>
        <v>3.57</v>
      </c>
      <c r="K45" s="12">
        <f>K46*D45/D46</f>
        <v>0</v>
      </c>
      <c r="L45" s="12">
        <f>L46*D45/D46</f>
        <v>0</v>
      </c>
      <c r="M45" s="12">
        <f>M46*D45/D46</f>
        <v>18.432599999999997</v>
      </c>
      <c r="N45" s="12">
        <f>N46*D45/D46</f>
        <v>23.697599999999998</v>
      </c>
      <c r="O45" s="12">
        <f>O46*D45/D46</f>
        <v>11.172000000000001</v>
      </c>
      <c r="P45" s="12">
        <f>P46*D45/D46</f>
        <v>0.64019999999999999</v>
      </c>
      <c r="Q45" s="136">
        <v>55</v>
      </c>
      <c r="R45" s="136">
        <v>2011</v>
      </c>
      <c r="S45" s="13"/>
    </row>
    <row r="46" spans="1:19" s="95" customFormat="1" ht="18.95" customHeight="1" x14ac:dyDescent="0.25">
      <c r="A46" s="129"/>
      <c r="B46" s="187"/>
      <c r="C46" s="187"/>
      <c r="D46" s="186">
        <v>1000</v>
      </c>
      <c r="E46" s="186">
        <v>14.22</v>
      </c>
      <c r="F46" s="186">
        <v>60.27</v>
      </c>
      <c r="G46" s="186">
        <v>62.75</v>
      </c>
      <c r="H46" s="186">
        <v>850</v>
      </c>
      <c r="I46" s="187">
        <v>0.28999999999999998</v>
      </c>
      <c r="J46" s="187">
        <v>59.5</v>
      </c>
      <c r="K46" s="187">
        <v>0</v>
      </c>
      <c r="L46" s="187"/>
      <c r="M46" s="187">
        <v>307.20999999999998</v>
      </c>
      <c r="N46" s="187">
        <v>394.96</v>
      </c>
      <c r="O46" s="187">
        <v>186.2</v>
      </c>
      <c r="P46" s="187">
        <v>10.67</v>
      </c>
      <c r="Q46" s="136"/>
      <c r="R46" s="136"/>
      <c r="S46" s="13"/>
    </row>
    <row r="47" spans="1:19" s="95" customFormat="1" ht="18.95" customHeight="1" x14ac:dyDescent="0.25">
      <c r="A47" s="129" t="s">
        <v>152</v>
      </c>
      <c r="B47" s="187">
        <v>100</v>
      </c>
      <c r="C47" s="187">
        <v>100</v>
      </c>
      <c r="D47" s="11">
        <f>B47</f>
        <v>100</v>
      </c>
      <c r="E47" s="12">
        <f>D47*E48/D48</f>
        <v>1.1559999999999999</v>
      </c>
      <c r="F47" s="12">
        <f>F48*D47/D48</f>
        <v>0.185</v>
      </c>
      <c r="G47" s="12">
        <f>G48*D47/D48</f>
        <v>7.198999999999999</v>
      </c>
      <c r="H47" s="12">
        <f>H48*D47/D48</f>
        <v>35.1</v>
      </c>
      <c r="I47" s="12">
        <f>I48*D47/D48</f>
        <v>3.2000000000000001E-2</v>
      </c>
      <c r="J47" s="12">
        <f>J48*D47/D48</f>
        <v>15.519</v>
      </c>
      <c r="K47" s="12">
        <f>K48*D47/D48</f>
        <v>0</v>
      </c>
      <c r="L47" s="12">
        <f>L48*D47/D48</f>
        <v>0</v>
      </c>
      <c r="M47" s="12">
        <f>M48*D47/D48</f>
        <v>33.142000000000003</v>
      </c>
      <c r="N47" s="12">
        <f>N48*D47/D48</f>
        <v>29.016999999999999</v>
      </c>
      <c r="O47" s="12">
        <f>O48*D47/D48</f>
        <v>17.282</v>
      </c>
      <c r="P47" s="12">
        <f>P48*D47/D48</f>
        <v>1.278</v>
      </c>
      <c r="Q47" s="136">
        <v>56</v>
      </c>
      <c r="R47" s="136">
        <v>2011</v>
      </c>
      <c r="S47" s="13"/>
    </row>
    <row r="48" spans="1:19" s="95" customFormat="1" ht="18.95" customHeight="1" x14ac:dyDescent="0.25">
      <c r="A48" s="129" t="s">
        <v>1061</v>
      </c>
      <c r="B48" s="187"/>
      <c r="C48" s="187"/>
      <c r="D48" s="186">
        <v>1000</v>
      </c>
      <c r="E48" s="186">
        <v>11.56</v>
      </c>
      <c r="F48" s="186">
        <v>1.85</v>
      </c>
      <c r="G48" s="186">
        <v>71.989999999999995</v>
      </c>
      <c r="H48" s="186">
        <v>351</v>
      </c>
      <c r="I48" s="187">
        <v>0.32</v>
      </c>
      <c r="J48" s="187">
        <v>155.19</v>
      </c>
      <c r="K48" s="187">
        <v>0</v>
      </c>
      <c r="L48" s="187"/>
      <c r="M48" s="187">
        <v>331.42</v>
      </c>
      <c r="N48" s="187">
        <v>290.17</v>
      </c>
      <c r="O48" s="187">
        <v>172.82</v>
      </c>
      <c r="P48" s="187">
        <v>12.78</v>
      </c>
      <c r="Q48" s="136"/>
      <c r="R48" s="136"/>
      <c r="S48" s="13"/>
    </row>
    <row r="49" spans="1:19" s="95" customFormat="1" ht="18.95" customHeight="1" x14ac:dyDescent="0.25">
      <c r="A49" s="129" t="s">
        <v>1090</v>
      </c>
      <c r="B49" s="187">
        <v>100</v>
      </c>
      <c r="C49" s="187">
        <v>100</v>
      </c>
      <c r="D49" s="11">
        <f>B49</f>
        <v>100</v>
      </c>
      <c r="E49" s="12">
        <f>D49*E50/D50</f>
        <v>1.2330000000000001</v>
      </c>
      <c r="F49" s="12">
        <f>F50*D49/D50</f>
        <v>9.4E-2</v>
      </c>
      <c r="G49" s="12">
        <f>G50*D49/D50</f>
        <v>11.476000000000001</v>
      </c>
      <c r="H49" s="12">
        <f>H50*D49/D50</f>
        <v>81.7</v>
      </c>
      <c r="I49" s="12">
        <f>I50*D49/D50</f>
        <v>5.6999999999999995E-2</v>
      </c>
      <c r="J49" s="12">
        <f>J50*D49/D50</f>
        <v>3.36</v>
      </c>
      <c r="K49" s="12">
        <f>K50*D49/D50</f>
        <v>0</v>
      </c>
      <c r="L49" s="12">
        <f>L50*D49/D50</f>
        <v>0</v>
      </c>
      <c r="M49" s="12">
        <f>M50*D49/D50</f>
        <v>25.760000000000005</v>
      </c>
      <c r="N49" s="12">
        <f>N50*D49/D50</f>
        <v>52.765999999999998</v>
      </c>
      <c r="O49" s="12">
        <f>O50*D49/D50</f>
        <v>36.046999999999997</v>
      </c>
      <c r="P49" s="12">
        <f>P50*D49/D50</f>
        <v>0.66400000000000003</v>
      </c>
      <c r="Q49" s="136">
        <v>62</v>
      </c>
      <c r="R49" s="136">
        <v>2011</v>
      </c>
      <c r="S49" s="13"/>
    </row>
    <row r="50" spans="1:19" s="95" customFormat="1" ht="18.95" customHeight="1" x14ac:dyDescent="0.25">
      <c r="A50" s="129"/>
      <c r="B50" s="187"/>
      <c r="C50" s="187"/>
      <c r="D50" s="186">
        <v>1000</v>
      </c>
      <c r="E50" s="186">
        <v>12.33</v>
      </c>
      <c r="F50" s="186">
        <v>0.94</v>
      </c>
      <c r="G50" s="186">
        <v>114.76</v>
      </c>
      <c r="H50" s="186">
        <v>817</v>
      </c>
      <c r="I50" s="187">
        <v>0.56999999999999995</v>
      </c>
      <c r="J50" s="187">
        <v>33.6</v>
      </c>
      <c r="K50" s="187">
        <v>0</v>
      </c>
      <c r="L50" s="187"/>
      <c r="M50" s="187">
        <v>257.60000000000002</v>
      </c>
      <c r="N50" s="187">
        <v>527.66</v>
      </c>
      <c r="O50" s="187">
        <v>360.47</v>
      </c>
      <c r="P50" s="187">
        <v>6.64</v>
      </c>
      <c r="Q50" s="136"/>
      <c r="R50" s="136"/>
      <c r="S50" s="13"/>
    </row>
    <row r="51" spans="1:19" s="95" customFormat="1" ht="18.95" customHeight="1" x14ac:dyDescent="0.25">
      <c r="A51" s="129" t="s">
        <v>1091</v>
      </c>
      <c r="B51" s="187">
        <v>100</v>
      </c>
      <c r="C51" s="187">
        <v>100</v>
      </c>
      <c r="D51" s="11">
        <f>B51</f>
        <v>100</v>
      </c>
      <c r="E51" s="12">
        <f>D51*E52/D52</f>
        <v>1.7030000000000001</v>
      </c>
      <c r="F51" s="12">
        <f>F52*D51/D52</f>
        <v>1.389</v>
      </c>
      <c r="G51" s="12">
        <f>G52*D51/D52</f>
        <v>16.510999999999999</v>
      </c>
      <c r="H51" s="12">
        <f>H52*D51/D52</f>
        <v>85.3</v>
      </c>
      <c r="I51" s="12">
        <f>I52*D51/D52</f>
        <v>8.9999999999999993E-3</v>
      </c>
      <c r="J51" s="12">
        <f>J52*D51/D52</f>
        <v>1.905</v>
      </c>
      <c r="K51" s="12">
        <f>K52*D51/D52</f>
        <v>0</v>
      </c>
      <c r="L51" s="12">
        <f>L52*D51/D52</f>
        <v>0</v>
      </c>
      <c r="M51" s="12">
        <f>M52*D51/D52</f>
        <v>41.402999999999999</v>
      </c>
      <c r="N51" s="12">
        <f>N52*D51/D52</f>
        <v>63.458000000000006</v>
      </c>
      <c r="O51" s="12">
        <f>O52*D51/D52</f>
        <v>44.366999999999997</v>
      </c>
      <c r="P51" s="12">
        <f>P52*D51/D52</f>
        <v>0.99600000000000011</v>
      </c>
      <c r="Q51" s="136">
        <v>63</v>
      </c>
      <c r="R51" s="136">
        <v>2011</v>
      </c>
      <c r="S51" s="13"/>
    </row>
    <row r="52" spans="1:19" s="95" customFormat="1" ht="18.95" customHeight="1" x14ac:dyDescent="0.25">
      <c r="A52" s="129" t="s">
        <v>1055</v>
      </c>
      <c r="B52" s="187"/>
      <c r="C52" s="187"/>
      <c r="D52" s="186">
        <v>1000</v>
      </c>
      <c r="E52" s="186">
        <v>17.03</v>
      </c>
      <c r="F52" s="186">
        <v>13.89</v>
      </c>
      <c r="G52" s="186">
        <v>165.11</v>
      </c>
      <c r="H52" s="186">
        <v>853</v>
      </c>
      <c r="I52" s="187">
        <v>0.09</v>
      </c>
      <c r="J52" s="187">
        <v>19.05</v>
      </c>
      <c r="K52" s="187">
        <v>0</v>
      </c>
      <c r="L52" s="187"/>
      <c r="M52" s="187">
        <v>414.03</v>
      </c>
      <c r="N52" s="187">
        <v>634.58000000000004</v>
      </c>
      <c r="O52" s="187">
        <v>443.67</v>
      </c>
      <c r="P52" s="187">
        <v>9.9600000000000009</v>
      </c>
      <c r="Q52" s="136"/>
      <c r="R52" s="136"/>
      <c r="S52" s="13"/>
    </row>
    <row r="53" spans="1:19" s="95" customFormat="1" ht="18.95" customHeight="1" x14ac:dyDescent="0.25">
      <c r="A53" s="129" t="s">
        <v>1104</v>
      </c>
      <c r="B53" s="187">
        <v>100</v>
      </c>
      <c r="C53" s="187">
        <v>100</v>
      </c>
      <c r="D53" s="11">
        <f>B53</f>
        <v>100</v>
      </c>
      <c r="E53" s="12">
        <f>D53*E54/D54</f>
        <v>1.2569999999999999</v>
      </c>
      <c r="F53" s="12">
        <f>F54*D53/D54</f>
        <v>0.13300000000000001</v>
      </c>
      <c r="G53" s="12">
        <f>G54*D53/D54</f>
        <v>22.274999999999999</v>
      </c>
      <c r="H53" s="12">
        <f>H54*D53/D54</f>
        <v>95.3</v>
      </c>
      <c r="I53" s="12">
        <f>I54*D53/D54</f>
        <v>6.3E-2</v>
      </c>
      <c r="J53" s="12">
        <f>J54*D53/D54</f>
        <v>4.0250000000000004</v>
      </c>
      <c r="K53" s="12">
        <f>K54*D53/D54</f>
        <v>0</v>
      </c>
      <c r="L53" s="12">
        <f>L54*D53/D54</f>
        <v>0</v>
      </c>
      <c r="M53" s="12">
        <f>M54*D53/D54</f>
        <v>31.708999999999996</v>
      </c>
      <c r="N53" s="12">
        <f>N54*D53/D54</f>
        <v>56.016999999999996</v>
      </c>
      <c r="O53" s="12">
        <f>O54*D53/D54</f>
        <v>33.363</v>
      </c>
      <c r="P53" s="12">
        <f>P54*D53/D54</f>
        <v>0.91400000000000003</v>
      </c>
      <c r="Q53" s="136">
        <v>66</v>
      </c>
      <c r="R53" s="136">
        <v>2011</v>
      </c>
      <c r="S53" s="13"/>
    </row>
    <row r="54" spans="1:19" s="95" customFormat="1" ht="18.95" customHeight="1" x14ac:dyDescent="0.25">
      <c r="A54" s="129"/>
      <c r="B54" s="187"/>
      <c r="C54" s="187"/>
      <c r="D54" s="186">
        <v>1000</v>
      </c>
      <c r="E54" s="186">
        <v>12.57</v>
      </c>
      <c r="F54" s="186">
        <v>1.33</v>
      </c>
      <c r="G54" s="186">
        <v>222.75</v>
      </c>
      <c r="H54" s="186">
        <v>953</v>
      </c>
      <c r="I54" s="187">
        <v>0.63</v>
      </c>
      <c r="J54" s="187">
        <v>40.25</v>
      </c>
      <c r="K54" s="187">
        <v>0</v>
      </c>
      <c r="L54" s="187"/>
      <c r="M54" s="187">
        <v>317.08999999999997</v>
      </c>
      <c r="N54" s="187">
        <v>560.16999999999996</v>
      </c>
      <c r="O54" s="187">
        <v>333.63</v>
      </c>
      <c r="P54" s="187">
        <v>9.14</v>
      </c>
      <c r="Q54" s="136"/>
      <c r="R54" s="136"/>
      <c r="S54" s="13"/>
    </row>
    <row r="55" spans="1:19" s="95" customFormat="1" ht="18.95" customHeight="1" x14ac:dyDescent="0.25">
      <c r="A55" s="129" t="s">
        <v>904</v>
      </c>
      <c r="B55" s="187">
        <v>60</v>
      </c>
      <c r="C55" s="187">
        <v>100</v>
      </c>
      <c r="D55" s="11">
        <f>B55</f>
        <v>60</v>
      </c>
      <c r="E55" s="12">
        <f>D55*E56/D56</f>
        <v>0.84179999999999999</v>
      </c>
      <c r="F55" s="12">
        <f>F56*D55/D56</f>
        <v>6.024</v>
      </c>
      <c r="G55" s="12">
        <f>G56*D55/D56</f>
        <v>4.3739999999999997</v>
      </c>
      <c r="H55" s="12">
        <f>H56*D55/D56</f>
        <v>75.06</v>
      </c>
      <c r="I55" s="12">
        <f>I56*D55/D56</f>
        <v>2.64E-2</v>
      </c>
      <c r="J55" s="12">
        <f>J56*D55/D56</f>
        <v>5.7791999999999994</v>
      </c>
      <c r="K55" s="12">
        <f>K56*D55/D56</f>
        <v>0</v>
      </c>
      <c r="L55" s="12">
        <f>L56*D55/D56</f>
        <v>0</v>
      </c>
      <c r="M55" s="12">
        <f>M56*D55/D56</f>
        <v>18.741</v>
      </c>
      <c r="N55" s="12">
        <f>N56*D55/D56</f>
        <v>25.962</v>
      </c>
      <c r="O55" s="12">
        <f>O56*D55/D56</f>
        <v>11.7174</v>
      </c>
      <c r="P55" s="12">
        <f>P56*D55/D56</f>
        <v>0.49679999999999996</v>
      </c>
      <c r="Q55" s="136">
        <v>67</v>
      </c>
      <c r="R55" s="136">
        <v>2011</v>
      </c>
      <c r="S55" s="13"/>
    </row>
    <row r="56" spans="1:19" s="95" customFormat="1" ht="18.95" customHeight="1" x14ac:dyDescent="0.25">
      <c r="A56" s="129"/>
      <c r="B56" s="187"/>
      <c r="C56" s="187"/>
      <c r="D56" s="186">
        <v>1000</v>
      </c>
      <c r="E56" s="186">
        <v>14.03</v>
      </c>
      <c r="F56" s="186">
        <v>100.4</v>
      </c>
      <c r="G56" s="186">
        <v>72.900000000000006</v>
      </c>
      <c r="H56" s="186">
        <v>1251</v>
      </c>
      <c r="I56" s="187">
        <v>0.44</v>
      </c>
      <c r="J56" s="187">
        <v>96.32</v>
      </c>
      <c r="K56" s="187">
        <v>0</v>
      </c>
      <c r="L56" s="187"/>
      <c r="M56" s="187">
        <v>312.35000000000002</v>
      </c>
      <c r="N56" s="187">
        <v>432.7</v>
      </c>
      <c r="O56" s="187">
        <v>195.29</v>
      </c>
      <c r="P56" s="187">
        <v>8.2799999999999994</v>
      </c>
      <c r="Q56" s="136"/>
      <c r="R56" s="136"/>
      <c r="S56" s="13"/>
    </row>
    <row r="57" spans="1:19" s="95" customFormat="1" ht="18.95" customHeight="1" x14ac:dyDescent="0.25">
      <c r="A57" s="129" t="s">
        <v>878</v>
      </c>
      <c r="B57" s="187">
        <v>60</v>
      </c>
      <c r="C57" s="187">
        <v>100</v>
      </c>
      <c r="D57" s="11">
        <f>B57</f>
        <v>60</v>
      </c>
      <c r="E57" s="12">
        <f>D57*E58/D58</f>
        <v>0.48</v>
      </c>
      <c r="F57" s="12">
        <f>F58*D57/D58</f>
        <v>0.06</v>
      </c>
      <c r="G57" s="12">
        <f>G58*D57/D58</f>
        <v>1.02</v>
      </c>
      <c r="H57" s="12">
        <f>H58*D57/D58</f>
        <v>6</v>
      </c>
      <c r="I57" s="12">
        <f>I58*D57/D58</f>
        <v>1.2E-2</v>
      </c>
      <c r="J57" s="12">
        <f>J58*D57/D58</f>
        <v>2.1</v>
      </c>
      <c r="K57" s="12">
        <f>K58*D57/D58</f>
        <v>0</v>
      </c>
      <c r="L57" s="12">
        <f>L58*D57/D58</f>
        <v>0</v>
      </c>
      <c r="M57" s="12">
        <f>M58*D57/D58</f>
        <v>13.8</v>
      </c>
      <c r="N57" s="12">
        <f>N58*D57/D58</f>
        <v>14.4</v>
      </c>
      <c r="O57" s="12">
        <f>O58*D57/D58</f>
        <v>8.4</v>
      </c>
      <c r="P57" s="12">
        <f>P58*D57/D58</f>
        <v>0.36</v>
      </c>
      <c r="Q57" s="136">
        <v>70</v>
      </c>
      <c r="R57" s="136">
        <v>2011</v>
      </c>
      <c r="S57" s="13"/>
    </row>
    <row r="58" spans="1:19" s="95" customFormat="1" ht="18.95" customHeight="1" x14ac:dyDescent="0.25">
      <c r="A58" s="129" t="s">
        <v>1050</v>
      </c>
      <c r="B58" s="187"/>
      <c r="C58" s="187"/>
      <c r="D58" s="186">
        <v>50</v>
      </c>
      <c r="E58" s="186">
        <v>0.4</v>
      </c>
      <c r="F58" s="186">
        <v>0.05</v>
      </c>
      <c r="G58" s="186">
        <v>0.85</v>
      </c>
      <c r="H58" s="186">
        <v>5</v>
      </c>
      <c r="I58" s="187">
        <v>0.01</v>
      </c>
      <c r="J58" s="187">
        <v>1.75</v>
      </c>
      <c r="K58" s="187">
        <v>0</v>
      </c>
      <c r="L58" s="187"/>
      <c r="M58" s="187">
        <v>11.5</v>
      </c>
      <c r="N58" s="187">
        <v>12</v>
      </c>
      <c r="O58" s="187">
        <v>7</v>
      </c>
      <c r="P58" s="187">
        <v>0.3</v>
      </c>
      <c r="Q58" s="136"/>
      <c r="R58" s="136"/>
      <c r="S58" s="13"/>
    </row>
    <row r="59" spans="1:19" s="95" customFormat="1" ht="18.95" customHeight="1" x14ac:dyDescent="0.25">
      <c r="A59" s="129" t="s">
        <v>1099</v>
      </c>
      <c r="B59" s="187">
        <v>60</v>
      </c>
      <c r="C59" s="187">
        <v>100</v>
      </c>
      <c r="D59" s="11">
        <f>B59</f>
        <v>60</v>
      </c>
      <c r="E59" s="12">
        <f>D59*E60/D60</f>
        <v>0.66</v>
      </c>
      <c r="F59" s="12">
        <f>F60*D59/D60</f>
        <v>0.12</v>
      </c>
      <c r="G59" s="12">
        <f>G60*D59/D60</f>
        <v>2.2799999999999998</v>
      </c>
      <c r="H59" s="12">
        <f>H60*D59/D60</f>
        <v>13.2</v>
      </c>
      <c r="I59" s="12">
        <f>I60*D59/D60</f>
        <v>3.5999999999999997E-2</v>
      </c>
      <c r="J59" s="12">
        <f>J60*D59/D60</f>
        <v>10.5</v>
      </c>
      <c r="K59" s="12">
        <f>K60*D59/D60</f>
        <v>0</v>
      </c>
      <c r="L59" s="12">
        <f>L60*D59/D60</f>
        <v>0</v>
      </c>
      <c r="M59" s="12">
        <f>M60*D59/D60</f>
        <v>8.4</v>
      </c>
      <c r="N59" s="12">
        <f>N60*D59/D60</f>
        <v>15.6</v>
      </c>
      <c r="O59" s="12">
        <f>O60*D59/D60</f>
        <v>12</v>
      </c>
      <c r="P59" s="12">
        <f>P60*D59/D60</f>
        <v>0.54</v>
      </c>
      <c r="Q59" s="136">
        <v>71</v>
      </c>
      <c r="R59" s="136">
        <v>2011</v>
      </c>
      <c r="S59" s="13"/>
    </row>
    <row r="60" spans="1:19" s="95" customFormat="1" ht="18.95" customHeight="1" x14ac:dyDescent="0.25">
      <c r="A60" s="129"/>
      <c r="B60" s="187"/>
      <c r="C60" s="187"/>
      <c r="D60" s="186">
        <v>50</v>
      </c>
      <c r="E60" s="186">
        <v>0.55000000000000004</v>
      </c>
      <c r="F60" s="186">
        <v>0.1</v>
      </c>
      <c r="G60" s="186">
        <v>1.9</v>
      </c>
      <c r="H60" s="186">
        <v>11</v>
      </c>
      <c r="I60" s="187">
        <v>0.03</v>
      </c>
      <c r="J60" s="187">
        <v>8.75</v>
      </c>
      <c r="K60" s="187">
        <v>0</v>
      </c>
      <c r="L60" s="187"/>
      <c r="M60" s="187">
        <v>7</v>
      </c>
      <c r="N60" s="187">
        <v>13</v>
      </c>
      <c r="O60" s="187">
        <v>10</v>
      </c>
      <c r="P60" s="187">
        <v>0.45</v>
      </c>
      <c r="Q60" s="136"/>
      <c r="R60" s="136"/>
      <c r="S60" s="13"/>
    </row>
    <row r="61" spans="1:19" s="95" customFormat="1" ht="18.95" customHeight="1" x14ac:dyDescent="0.25">
      <c r="A61" s="129" t="s">
        <v>1100</v>
      </c>
      <c r="B61" s="187">
        <v>60</v>
      </c>
      <c r="C61" s="187">
        <v>100</v>
      </c>
      <c r="D61" s="11">
        <f>B61</f>
        <v>60</v>
      </c>
      <c r="E61" s="12">
        <f>D61*E62/D62</f>
        <v>0.42</v>
      </c>
      <c r="F61" s="12">
        <f>F62*D61/D62</f>
        <v>0.06</v>
      </c>
      <c r="G61" s="12">
        <f>G62*D61/D62</f>
        <v>1.1399999999999999</v>
      </c>
      <c r="H61" s="12">
        <f>H62*D61/D62</f>
        <v>7.2</v>
      </c>
      <c r="I61" s="12">
        <f>I62*D61/D62</f>
        <v>2.4E-2</v>
      </c>
      <c r="J61" s="12">
        <f>J62*D61/D62</f>
        <v>2.94</v>
      </c>
      <c r="K61" s="12">
        <f>K62*D61/D62</f>
        <v>0</v>
      </c>
      <c r="L61" s="12">
        <f>L62*D61/D62</f>
        <v>0</v>
      </c>
      <c r="M61" s="12">
        <f>M62*D61/D62</f>
        <v>10.199999999999999</v>
      </c>
      <c r="N61" s="12">
        <f>N62*D61/D62</f>
        <v>18</v>
      </c>
      <c r="O61" s="12">
        <f>O62*D61/D62</f>
        <v>8.4</v>
      </c>
      <c r="P61" s="12">
        <f>P62*D61/D62</f>
        <v>0.3</v>
      </c>
      <c r="Q61" s="136">
        <v>71</v>
      </c>
      <c r="R61" s="136">
        <v>2011</v>
      </c>
      <c r="S61" s="13"/>
    </row>
    <row r="62" spans="1:19" s="95" customFormat="1" ht="18.95" customHeight="1" x14ac:dyDescent="0.25">
      <c r="A62" s="129"/>
      <c r="B62" s="187"/>
      <c r="C62" s="187"/>
      <c r="D62" s="186">
        <v>50</v>
      </c>
      <c r="E62" s="186">
        <v>0.35</v>
      </c>
      <c r="F62" s="186">
        <v>0.05</v>
      </c>
      <c r="G62" s="186">
        <v>0.95</v>
      </c>
      <c r="H62" s="186">
        <v>6</v>
      </c>
      <c r="I62" s="187">
        <v>0.02</v>
      </c>
      <c r="J62" s="187">
        <v>2.4500000000000002</v>
      </c>
      <c r="K62" s="187">
        <v>0</v>
      </c>
      <c r="L62" s="187"/>
      <c r="M62" s="187">
        <v>8.5</v>
      </c>
      <c r="N62" s="187">
        <v>15</v>
      </c>
      <c r="O62" s="187">
        <v>7</v>
      </c>
      <c r="P62" s="187">
        <v>0.25</v>
      </c>
      <c r="Q62" s="136"/>
      <c r="R62" s="136"/>
      <c r="S62" s="13"/>
    </row>
    <row r="63" spans="1:19" s="95" customFormat="1" ht="18.95" customHeight="1" x14ac:dyDescent="0.25">
      <c r="A63" s="129" t="s">
        <v>30</v>
      </c>
      <c r="B63" s="187">
        <v>60</v>
      </c>
      <c r="C63" s="187">
        <v>100</v>
      </c>
      <c r="D63" s="11">
        <f>B63</f>
        <v>60</v>
      </c>
      <c r="E63" s="12">
        <f>D63*E64/D64</f>
        <v>1.6385999999999998</v>
      </c>
      <c r="F63" s="12">
        <f>F64*D63/D64</f>
        <v>4.3122000000000007</v>
      </c>
      <c r="G63" s="12">
        <f>G64*D63/D64</f>
        <v>8.7270000000000003</v>
      </c>
      <c r="H63" s="12">
        <f>H64*D63/D64</f>
        <v>80.28</v>
      </c>
      <c r="I63" s="12">
        <f>I64*D63/D64</f>
        <v>2.2800000000000001E-2</v>
      </c>
      <c r="J63" s="12">
        <f>J64*D63/D64</f>
        <v>2.8056000000000001</v>
      </c>
      <c r="K63" s="12">
        <f>K64*D63/D64</f>
        <v>0</v>
      </c>
      <c r="L63" s="12">
        <f>L64*D63/D64</f>
        <v>0</v>
      </c>
      <c r="M63" s="12">
        <f>M64*D63/D64</f>
        <v>54.559800000000003</v>
      </c>
      <c r="N63" s="12">
        <f>N64*D63/D64</f>
        <v>33.481799999999993</v>
      </c>
      <c r="O63" s="12">
        <f>O64*D63/D64</f>
        <v>10.8636</v>
      </c>
      <c r="P63" s="12">
        <f>P64*D63/D64</f>
        <v>0.4446</v>
      </c>
      <c r="Q63" s="136">
        <v>73</v>
      </c>
      <c r="R63" s="136">
        <v>2011</v>
      </c>
      <c r="S63" s="13"/>
    </row>
    <row r="64" spans="1:19" s="95" customFormat="1" ht="18.95" customHeight="1" x14ac:dyDescent="0.25">
      <c r="A64" s="129"/>
      <c r="B64" s="187"/>
      <c r="C64" s="187"/>
      <c r="D64" s="186">
        <v>1000</v>
      </c>
      <c r="E64" s="186">
        <v>27.31</v>
      </c>
      <c r="F64" s="186">
        <v>71.87</v>
      </c>
      <c r="G64" s="186">
        <v>145.44999999999999</v>
      </c>
      <c r="H64" s="186">
        <v>1338</v>
      </c>
      <c r="I64" s="187">
        <v>0.38</v>
      </c>
      <c r="J64" s="187">
        <v>46.76</v>
      </c>
      <c r="K64" s="187">
        <v>0</v>
      </c>
      <c r="L64" s="187"/>
      <c r="M64" s="187">
        <v>909.33</v>
      </c>
      <c r="N64" s="187">
        <v>558.03</v>
      </c>
      <c r="O64" s="187">
        <v>181.06</v>
      </c>
      <c r="P64" s="187">
        <v>7.41</v>
      </c>
      <c r="Q64" s="136"/>
      <c r="R64" s="136"/>
      <c r="S64" s="13"/>
    </row>
    <row r="65" spans="1:19" s="95" customFormat="1" ht="18.95" customHeight="1" x14ac:dyDescent="0.25">
      <c r="A65" s="129" t="s">
        <v>905</v>
      </c>
      <c r="B65" s="187">
        <v>40</v>
      </c>
      <c r="C65" s="187">
        <v>40</v>
      </c>
      <c r="D65" s="11">
        <f>B65</f>
        <v>40</v>
      </c>
      <c r="E65" s="12">
        <f>D65*E66/D66</f>
        <v>5.08</v>
      </c>
      <c r="F65" s="12">
        <f>F66*D65/D66</f>
        <v>4.5999999999999996</v>
      </c>
      <c r="G65" s="12">
        <f>G66*D65/D66</f>
        <v>0.28000000000000003</v>
      </c>
      <c r="H65" s="12">
        <f>H66*D65/D66</f>
        <v>63</v>
      </c>
      <c r="I65" s="12">
        <f>I66*D65/D66</f>
        <v>0.03</v>
      </c>
      <c r="J65" s="12">
        <f>J66*D65/D66</f>
        <v>0</v>
      </c>
      <c r="K65" s="12">
        <f>K66*D65/D66</f>
        <v>100</v>
      </c>
      <c r="L65" s="12">
        <f>L66*D65/D66</f>
        <v>0</v>
      </c>
      <c r="M65" s="12">
        <f>M66*D65/D66</f>
        <v>22</v>
      </c>
      <c r="N65" s="12">
        <f>N66*D65/D66</f>
        <v>76.8</v>
      </c>
      <c r="O65" s="12">
        <f>O66*D65/D66</f>
        <v>4.8</v>
      </c>
      <c r="P65" s="12">
        <f>P66*D65/D66</f>
        <v>1</v>
      </c>
      <c r="Q65" s="136">
        <v>209</v>
      </c>
      <c r="R65" s="136">
        <v>2011</v>
      </c>
      <c r="S65" s="13"/>
    </row>
    <row r="66" spans="1:19" s="95" customFormat="1" ht="18.95" customHeight="1" x14ac:dyDescent="0.25">
      <c r="A66" s="134"/>
      <c r="B66" s="187"/>
      <c r="C66" s="187"/>
      <c r="D66" s="186">
        <v>40</v>
      </c>
      <c r="E66" s="186">
        <v>5.08</v>
      </c>
      <c r="F66" s="186">
        <v>4.5999999999999996</v>
      </c>
      <c r="G66" s="186">
        <v>0.28000000000000003</v>
      </c>
      <c r="H66" s="186">
        <v>63</v>
      </c>
      <c r="I66" s="187">
        <v>0.03</v>
      </c>
      <c r="J66" s="187">
        <v>0</v>
      </c>
      <c r="K66" s="187">
        <v>100</v>
      </c>
      <c r="L66" s="187"/>
      <c r="M66" s="187">
        <v>22</v>
      </c>
      <c r="N66" s="187">
        <v>76.8</v>
      </c>
      <c r="O66" s="187">
        <v>4.8</v>
      </c>
      <c r="P66" s="187">
        <v>1</v>
      </c>
      <c r="Q66" s="136"/>
      <c r="R66" s="136"/>
      <c r="S66" s="13"/>
    </row>
    <row r="67" spans="1:19" s="95" customFormat="1" ht="18.95" customHeight="1" x14ac:dyDescent="0.25">
      <c r="A67" s="133" t="s">
        <v>1000</v>
      </c>
      <c r="B67" s="187">
        <v>60</v>
      </c>
      <c r="C67" s="187">
        <v>100</v>
      </c>
      <c r="D67" s="11">
        <f>B67</f>
        <v>60</v>
      </c>
      <c r="E67" s="12">
        <f>D67*E68/D68</f>
        <v>1.7310000000000001</v>
      </c>
      <c r="F67" s="12">
        <f>F68*D67/D68</f>
        <v>1.6343999999999999</v>
      </c>
      <c r="G67" s="12">
        <f>G68*D67/D68</f>
        <v>3.4716</v>
      </c>
      <c r="H67" s="12">
        <f>H68*D67/D68</f>
        <v>35.520000000000003</v>
      </c>
      <c r="I67" s="12">
        <f>I68*D67/D68</f>
        <v>3.4799999999999998E-2</v>
      </c>
      <c r="J67" s="12">
        <f>J68*D67/D68</f>
        <v>5.82</v>
      </c>
      <c r="K67" s="12">
        <f>K68*D67/D68</f>
        <v>8.4</v>
      </c>
      <c r="L67" s="12">
        <f>L68*D67/D68</f>
        <v>0</v>
      </c>
      <c r="M67" s="12">
        <f>M68*D67/D68</f>
        <v>14.352</v>
      </c>
      <c r="N67" s="12">
        <f>N68*D67/D68</f>
        <v>36.7986</v>
      </c>
      <c r="O67" s="12">
        <f>O68*D67/D68</f>
        <v>1210.56</v>
      </c>
      <c r="P67" s="12">
        <f>P68*D67/D68</f>
        <v>0.42059999999999997</v>
      </c>
      <c r="Q67" s="136">
        <v>306</v>
      </c>
      <c r="R67" s="136">
        <v>2011</v>
      </c>
      <c r="S67" s="13"/>
    </row>
    <row r="68" spans="1:19" s="95" customFormat="1" ht="18.95" customHeight="1" x14ac:dyDescent="0.25">
      <c r="A68" s="129"/>
      <c r="B68" s="187"/>
      <c r="C68" s="187"/>
      <c r="D68" s="186">
        <v>1000</v>
      </c>
      <c r="E68" s="186">
        <v>28.85</v>
      </c>
      <c r="F68" s="186">
        <v>27.24</v>
      </c>
      <c r="G68" s="186">
        <v>57.86</v>
      </c>
      <c r="H68" s="186">
        <v>592</v>
      </c>
      <c r="I68" s="187">
        <v>0.57999999999999996</v>
      </c>
      <c r="J68" s="187">
        <v>97</v>
      </c>
      <c r="K68" s="187">
        <v>140</v>
      </c>
      <c r="L68" s="187"/>
      <c r="M68" s="187">
        <v>239.2</v>
      </c>
      <c r="N68" s="187">
        <v>613.30999999999995</v>
      </c>
      <c r="O68" s="187">
        <v>20176</v>
      </c>
      <c r="P68" s="187">
        <v>7.01</v>
      </c>
      <c r="Q68" s="136"/>
      <c r="R68" s="136"/>
      <c r="S68" s="13"/>
    </row>
    <row r="69" spans="1:19" s="95" customFormat="1" ht="30" customHeight="1" x14ac:dyDescent="0.25">
      <c r="A69" s="133" t="s">
        <v>1001</v>
      </c>
      <c r="B69" s="187">
        <v>60</v>
      </c>
      <c r="C69" s="187">
        <v>100</v>
      </c>
      <c r="D69" s="11">
        <f>B69</f>
        <v>60</v>
      </c>
      <c r="E69" s="12">
        <f>D69*E70/D70</f>
        <v>1.2330000000000001</v>
      </c>
      <c r="F69" s="12">
        <f>F70*D69/D70</f>
        <v>1.746</v>
      </c>
      <c r="G69" s="12">
        <f>G70*D69/D70</f>
        <v>5.8733999999999993</v>
      </c>
      <c r="H69" s="12">
        <f>H70*D69/D70</f>
        <v>44.16</v>
      </c>
      <c r="I69" s="12">
        <f>I70*D69/D70</f>
        <v>6.0000000000000001E-3</v>
      </c>
      <c r="J69" s="12">
        <f>J70*D69/D70</f>
        <v>2.7936000000000005</v>
      </c>
      <c r="K69" s="12">
        <f>K70*D69/D70</f>
        <v>8.4</v>
      </c>
      <c r="L69" s="12">
        <f>L70*D69/D70</f>
        <v>0</v>
      </c>
      <c r="M69" s="12">
        <f>M70*D69/D70</f>
        <v>5.6219999999999999</v>
      </c>
      <c r="N69" s="12">
        <f>N70*D69/D70</f>
        <v>29.885999999999999</v>
      </c>
      <c r="O69" s="12">
        <f>O70*D69/D70</f>
        <v>0.12960000000000002</v>
      </c>
      <c r="P69" s="12">
        <f>P70*D69/D70</f>
        <v>0.24960000000000002</v>
      </c>
      <c r="Q69" s="136">
        <v>306</v>
      </c>
      <c r="R69" s="136">
        <v>2011</v>
      </c>
      <c r="S69" s="13"/>
    </row>
    <row r="70" spans="1:19" s="95" customFormat="1" ht="18.95" customHeight="1" x14ac:dyDescent="0.25">
      <c r="A70" s="129"/>
      <c r="B70" s="187"/>
      <c r="C70" s="187"/>
      <c r="D70" s="186">
        <v>1000</v>
      </c>
      <c r="E70" s="186">
        <v>20.55</v>
      </c>
      <c r="F70" s="186">
        <v>29.1</v>
      </c>
      <c r="G70" s="186">
        <v>97.89</v>
      </c>
      <c r="H70" s="186">
        <v>736</v>
      </c>
      <c r="I70" s="187">
        <v>0.1</v>
      </c>
      <c r="J70" s="187">
        <v>46.56</v>
      </c>
      <c r="K70" s="187">
        <v>140</v>
      </c>
      <c r="L70" s="187"/>
      <c r="M70" s="187">
        <v>93.7</v>
      </c>
      <c r="N70" s="187">
        <v>498.1</v>
      </c>
      <c r="O70" s="187">
        <v>2.16</v>
      </c>
      <c r="P70" s="13">
        <v>4.16</v>
      </c>
      <c r="Q70" s="136"/>
      <c r="R70" s="136"/>
      <c r="S70" s="13"/>
    </row>
    <row r="71" spans="1:19" s="95" customFormat="1" ht="18.95" customHeight="1" x14ac:dyDescent="0.25">
      <c r="A71" s="129" t="s">
        <v>906</v>
      </c>
      <c r="B71" s="187">
        <v>100</v>
      </c>
      <c r="C71" s="187">
        <v>150</v>
      </c>
      <c r="D71" s="11">
        <f>B71</f>
        <v>100</v>
      </c>
      <c r="E71" s="12">
        <f>D71*E72/D72</f>
        <v>1.5</v>
      </c>
      <c r="F71" s="12">
        <f>F72*D71/D72</f>
        <v>0.5</v>
      </c>
      <c r="G71" s="12">
        <f>G72*D71/D72</f>
        <v>21</v>
      </c>
      <c r="H71" s="12">
        <f>H72*D71/D72</f>
        <v>96</v>
      </c>
      <c r="I71" s="12">
        <f>I72*D71/D72</f>
        <v>0.04</v>
      </c>
      <c r="J71" s="12">
        <f>J72*D71/D72</f>
        <v>10</v>
      </c>
      <c r="K71" s="12">
        <f>K72*D71/D72</f>
        <v>0</v>
      </c>
      <c r="L71" s="12">
        <f>L72*D71/D72</f>
        <v>0</v>
      </c>
      <c r="M71" s="12">
        <f>M72*D71/D72</f>
        <v>8</v>
      </c>
      <c r="N71" s="12">
        <f>N72*D71/D72</f>
        <v>28</v>
      </c>
      <c r="O71" s="12">
        <f>O72*D71/D72</f>
        <v>42</v>
      </c>
      <c r="P71" s="12">
        <f>P72*D71/D72</f>
        <v>0.6</v>
      </c>
      <c r="Q71" s="136">
        <v>338</v>
      </c>
      <c r="R71" s="136">
        <v>2011</v>
      </c>
      <c r="S71" s="13"/>
    </row>
    <row r="72" spans="1:19" s="95" customFormat="1" ht="18.95" customHeight="1" x14ac:dyDescent="0.25">
      <c r="A72" s="129"/>
      <c r="B72" s="187"/>
      <c r="C72" s="187"/>
      <c r="D72" s="186">
        <v>100</v>
      </c>
      <c r="E72" s="186">
        <v>1.5</v>
      </c>
      <c r="F72" s="186">
        <v>0.5</v>
      </c>
      <c r="G72" s="186">
        <v>21</v>
      </c>
      <c r="H72" s="186">
        <v>96</v>
      </c>
      <c r="I72" s="187">
        <v>0.04</v>
      </c>
      <c r="J72" s="187">
        <v>10</v>
      </c>
      <c r="K72" s="187">
        <v>0</v>
      </c>
      <c r="L72" s="187"/>
      <c r="M72" s="187">
        <v>8</v>
      </c>
      <c r="N72" s="187">
        <v>28</v>
      </c>
      <c r="O72" s="187">
        <v>42</v>
      </c>
      <c r="P72" s="187">
        <v>0.6</v>
      </c>
      <c r="Q72" s="136"/>
      <c r="R72" s="136"/>
      <c r="S72" s="13"/>
    </row>
    <row r="73" spans="1:19" s="95" customFormat="1" ht="18.95" customHeight="1" x14ac:dyDescent="0.25">
      <c r="A73" s="129" t="s">
        <v>907</v>
      </c>
      <c r="B73" s="187">
        <v>100</v>
      </c>
      <c r="C73" s="187">
        <v>150</v>
      </c>
      <c r="D73" s="11">
        <f>B73</f>
        <v>100</v>
      </c>
      <c r="E73" s="12">
        <f>D73*E74/D74</f>
        <v>0.4</v>
      </c>
      <c r="F73" s="12">
        <f>F74*D73/D74</f>
        <v>0.4</v>
      </c>
      <c r="G73" s="12">
        <f>G74*D73/D74</f>
        <v>9.8000000000000007</v>
      </c>
      <c r="H73" s="12">
        <f>H74*D73/D74</f>
        <v>47</v>
      </c>
      <c r="I73" s="12">
        <f>I74*D73/D74</f>
        <v>0.03</v>
      </c>
      <c r="J73" s="12">
        <f>J74*D73/D74</f>
        <v>10</v>
      </c>
      <c r="K73" s="12">
        <f>K74*D73/D74</f>
        <v>0</v>
      </c>
      <c r="L73" s="12">
        <f>L74*D73/D74</f>
        <v>0</v>
      </c>
      <c r="M73" s="12">
        <f>M74*D73/D74</f>
        <v>16</v>
      </c>
      <c r="N73" s="12">
        <f>N74*D73/D74</f>
        <v>11</v>
      </c>
      <c r="O73" s="12">
        <f>O74*D73/D74</f>
        <v>9</v>
      </c>
      <c r="P73" s="12">
        <f>P74*D73/D74</f>
        <v>2.2000000000000002</v>
      </c>
      <c r="Q73" s="136">
        <v>338</v>
      </c>
      <c r="R73" s="136">
        <v>2011</v>
      </c>
      <c r="S73" s="13"/>
    </row>
    <row r="74" spans="1:19" s="95" customFormat="1" ht="18.95" customHeight="1" x14ac:dyDescent="0.25">
      <c r="A74" s="129"/>
      <c r="B74" s="187"/>
      <c r="C74" s="187"/>
      <c r="D74" s="186">
        <v>100</v>
      </c>
      <c r="E74" s="186">
        <v>0.4</v>
      </c>
      <c r="F74" s="186">
        <v>0.4</v>
      </c>
      <c r="G74" s="186">
        <v>9.8000000000000007</v>
      </c>
      <c r="H74" s="186">
        <v>47</v>
      </c>
      <c r="I74" s="187">
        <v>0.03</v>
      </c>
      <c r="J74" s="187">
        <v>10</v>
      </c>
      <c r="K74" s="187">
        <v>0</v>
      </c>
      <c r="L74" s="187"/>
      <c r="M74" s="187">
        <v>16</v>
      </c>
      <c r="N74" s="187">
        <v>11</v>
      </c>
      <c r="O74" s="187">
        <v>9</v>
      </c>
      <c r="P74" s="187">
        <v>2.2000000000000002</v>
      </c>
      <c r="Q74" s="136"/>
      <c r="R74" s="136"/>
      <c r="S74" s="13"/>
    </row>
    <row r="75" spans="1:19" s="95" customFormat="1" ht="18.95" customHeight="1" x14ac:dyDescent="0.25">
      <c r="A75" s="129" t="s">
        <v>1167</v>
      </c>
      <c r="B75" s="187">
        <v>100</v>
      </c>
      <c r="C75" s="187">
        <v>150</v>
      </c>
      <c r="D75" s="11">
        <f>B75</f>
        <v>100</v>
      </c>
      <c r="E75" s="12">
        <f>D75*E76/D76</f>
        <v>0.4</v>
      </c>
      <c r="F75" s="12">
        <f>F76*D75/D76</f>
        <v>0.4</v>
      </c>
      <c r="G75" s="12">
        <f>G76*D75/D76</f>
        <v>9.8000000000000007</v>
      </c>
      <c r="H75" s="12">
        <f>H76*D75/D76</f>
        <v>47</v>
      </c>
      <c r="I75" s="12">
        <f>I76*D75/D76</f>
        <v>0.03</v>
      </c>
      <c r="J75" s="12">
        <f>J76*D75/D76</f>
        <v>10</v>
      </c>
      <c r="K75" s="12">
        <f>K76*D75/D76</f>
        <v>0</v>
      </c>
      <c r="L75" s="12">
        <f>L76*D75/D76</f>
        <v>0</v>
      </c>
      <c r="M75" s="12">
        <f>M76*D75/D76</f>
        <v>16</v>
      </c>
      <c r="N75" s="12">
        <f>N76*D75/D76</f>
        <v>11</v>
      </c>
      <c r="O75" s="12">
        <f>O76*D75/D76</f>
        <v>9</v>
      </c>
      <c r="P75" s="12">
        <f>P76*D75/D76</f>
        <v>2.2000000000000002</v>
      </c>
      <c r="Q75" s="136">
        <v>338</v>
      </c>
      <c r="R75" s="136">
        <v>2011</v>
      </c>
      <c r="S75" s="13"/>
    </row>
    <row r="76" spans="1:19" s="95" customFormat="1" ht="18.95" customHeight="1" x14ac:dyDescent="0.25">
      <c r="A76" s="129"/>
      <c r="B76" s="187"/>
      <c r="C76" s="187"/>
      <c r="D76" s="186">
        <v>100</v>
      </c>
      <c r="E76" s="186">
        <v>0.4</v>
      </c>
      <c r="F76" s="186">
        <v>0.4</v>
      </c>
      <c r="G76" s="186">
        <v>9.8000000000000007</v>
      </c>
      <c r="H76" s="186">
        <v>47</v>
      </c>
      <c r="I76" s="187">
        <v>0.03</v>
      </c>
      <c r="J76" s="187">
        <v>10</v>
      </c>
      <c r="K76" s="187">
        <v>0</v>
      </c>
      <c r="L76" s="187"/>
      <c r="M76" s="187">
        <v>16</v>
      </c>
      <c r="N76" s="187">
        <v>11</v>
      </c>
      <c r="O76" s="187">
        <v>9</v>
      </c>
      <c r="P76" s="187">
        <v>2.2000000000000002</v>
      </c>
      <c r="Q76" s="136"/>
      <c r="R76" s="136"/>
      <c r="S76" s="13"/>
    </row>
    <row r="77" spans="1:19" s="95" customFormat="1" ht="30" customHeight="1" x14ac:dyDescent="0.25">
      <c r="A77" s="133" t="s">
        <v>908</v>
      </c>
      <c r="B77" s="187">
        <v>100</v>
      </c>
      <c r="C77" s="187">
        <v>150</v>
      </c>
      <c r="D77" s="11">
        <f>B77</f>
        <v>100</v>
      </c>
      <c r="E77" s="12">
        <f>D77*E78/D78</f>
        <v>0.78260869565217395</v>
      </c>
      <c r="F77" s="12">
        <f>F78*D77/D78</f>
        <v>0.17391304347826086</v>
      </c>
      <c r="G77" s="12">
        <f>G78*D77/D78</f>
        <v>20.086956521739129</v>
      </c>
      <c r="H77" s="12">
        <f>H78*D77/D78</f>
        <v>89.565217391304344</v>
      </c>
      <c r="I77" s="12">
        <f>I78*D77/D78</f>
        <v>3.4782608695652174E-2</v>
      </c>
      <c r="J77" s="12">
        <f>J78*D77/D78</f>
        <v>52.173913043478258</v>
      </c>
      <c r="K77" s="12">
        <f>K78*D77/D78</f>
        <v>0</v>
      </c>
      <c r="L77" s="12">
        <f>L78*D77/D78</f>
        <v>0</v>
      </c>
      <c r="M77" s="12">
        <f>M78*D77/D78</f>
        <v>30.434782608695652</v>
      </c>
      <c r="N77" s="12">
        <f>N78*D77/D78</f>
        <v>20</v>
      </c>
      <c r="O77" s="12">
        <f>O78*D77/D78</f>
        <v>11.304347826086957</v>
      </c>
      <c r="P77" s="12">
        <f>P78*D77/D78</f>
        <v>0.2608695652173913</v>
      </c>
      <c r="Q77" s="136">
        <v>341</v>
      </c>
      <c r="R77" s="136">
        <v>2011</v>
      </c>
      <c r="S77" s="13"/>
    </row>
    <row r="78" spans="1:19" s="95" customFormat="1" ht="18.95" customHeight="1" x14ac:dyDescent="0.25">
      <c r="A78" s="129"/>
      <c r="B78" s="187"/>
      <c r="C78" s="187"/>
      <c r="D78" s="186">
        <v>115</v>
      </c>
      <c r="E78" s="186">
        <v>0.9</v>
      </c>
      <c r="F78" s="186">
        <v>0.2</v>
      </c>
      <c r="G78" s="186">
        <v>23.1</v>
      </c>
      <c r="H78" s="186">
        <v>103</v>
      </c>
      <c r="I78" s="187">
        <v>0.04</v>
      </c>
      <c r="J78" s="187">
        <v>60</v>
      </c>
      <c r="K78" s="187">
        <v>0</v>
      </c>
      <c r="L78" s="187"/>
      <c r="M78" s="187">
        <v>35</v>
      </c>
      <c r="N78" s="187">
        <v>23</v>
      </c>
      <c r="O78" s="187">
        <v>13</v>
      </c>
      <c r="P78" s="187">
        <v>0.3</v>
      </c>
      <c r="Q78" s="136"/>
      <c r="R78" s="136"/>
      <c r="S78" s="13"/>
    </row>
    <row r="79" spans="1:19" s="95" customFormat="1" ht="30" customHeight="1" x14ac:dyDescent="0.25">
      <c r="A79" s="133" t="s">
        <v>1032</v>
      </c>
      <c r="B79" s="187">
        <v>100</v>
      </c>
      <c r="C79" s="187">
        <v>150</v>
      </c>
      <c r="D79" s="11">
        <f>B79</f>
        <v>100</v>
      </c>
      <c r="E79" s="12">
        <f>D79*E80/D80</f>
        <v>0.69565217391304346</v>
      </c>
      <c r="F79" s="12">
        <f>F80*D79/D80</f>
        <v>0.17391304347826086</v>
      </c>
      <c r="G79" s="12">
        <f>G80*D79/D80</f>
        <v>19.565217391304348</v>
      </c>
      <c r="H79" s="12">
        <f>H80*D79/D80</f>
        <v>85.217391304347828</v>
      </c>
      <c r="I79" s="12">
        <f>I80*D79/D80</f>
        <v>5.2173913043478258E-2</v>
      </c>
      <c r="J79" s="12">
        <f>J80*D79/D80</f>
        <v>33.043478260869563</v>
      </c>
      <c r="K79" s="12">
        <f>K80*D79/D80</f>
        <v>0</v>
      </c>
      <c r="L79" s="12">
        <f>L80*D79/D80</f>
        <v>0</v>
      </c>
      <c r="M79" s="12">
        <f>M80*D79/D80</f>
        <v>31.304347826086957</v>
      </c>
      <c r="N79" s="12">
        <f>N80*D79/D80</f>
        <v>14.782608695652174</v>
      </c>
      <c r="O79" s="12">
        <f>O80*D79/D80</f>
        <v>9.5652173913043477</v>
      </c>
      <c r="P79" s="12">
        <f>P80*D79/D80</f>
        <v>8.6956521739130432E-2</v>
      </c>
      <c r="Q79" s="136">
        <v>341</v>
      </c>
      <c r="R79" s="136">
        <v>2011</v>
      </c>
      <c r="S79" s="13"/>
    </row>
    <row r="80" spans="1:19" s="95" customFormat="1" ht="18.95" customHeight="1" x14ac:dyDescent="0.25">
      <c r="A80" s="129"/>
      <c r="B80" s="187"/>
      <c r="C80" s="187"/>
      <c r="D80" s="186">
        <v>115</v>
      </c>
      <c r="E80" s="186">
        <v>0.8</v>
      </c>
      <c r="F80" s="186">
        <v>0.2</v>
      </c>
      <c r="G80" s="186">
        <v>22.5</v>
      </c>
      <c r="H80" s="186">
        <v>98</v>
      </c>
      <c r="I80" s="187">
        <v>0.06</v>
      </c>
      <c r="J80" s="187">
        <v>38</v>
      </c>
      <c r="K80" s="187">
        <v>0</v>
      </c>
      <c r="L80" s="187"/>
      <c r="M80" s="187">
        <v>36</v>
      </c>
      <c r="N80" s="187">
        <v>17</v>
      </c>
      <c r="O80" s="187">
        <v>11</v>
      </c>
      <c r="P80" s="187">
        <v>0.1</v>
      </c>
      <c r="Q80" s="136"/>
      <c r="R80" s="136"/>
      <c r="S80" s="13"/>
    </row>
    <row r="81" spans="1:19" s="95" customFormat="1" ht="18.95" customHeight="1" x14ac:dyDescent="0.25">
      <c r="A81" s="135" t="s">
        <v>1157</v>
      </c>
      <c r="B81" s="17">
        <v>125</v>
      </c>
      <c r="C81" s="17">
        <v>125</v>
      </c>
      <c r="D81" s="11">
        <f>B81</f>
        <v>125</v>
      </c>
      <c r="E81" s="12">
        <f>D81*E82/D82</f>
        <v>5.13</v>
      </c>
      <c r="F81" s="12">
        <f>F82*D81/D82</f>
        <v>1.88</v>
      </c>
      <c r="G81" s="12">
        <f>G82*D81/D82</f>
        <v>7.38</v>
      </c>
      <c r="H81" s="12">
        <f>H82*D81/D82</f>
        <v>66.88</v>
      </c>
      <c r="I81" s="12">
        <f>I82*D81/D82</f>
        <v>0.04</v>
      </c>
      <c r="J81" s="12">
        <f>J82*D81/D82</f>
        <v>0.75</v>
      </c>
      <c r="K81" s="12">
        <f>K82*D81/D82</f>
        <v>12.5</v>
      </c>
      <c r="L81" s="12">
        <f>L82*D81/D82</f>
        <v>0</v>
      </c>
      <c r="M81" s="12">
        <f>M82*D81/D82</f>
        <v>155</v>
      </c>
      <c r="N81" s="12">
        <f>N82*D81/D82</f>
        <v>118.75</v>
      </c>
      <c r="O81" s="12">
        <f>O82*D81/D82</f>
        <v>18.75</v>
      </c>
      <c r="P81" s="12">
        <f>P82*D81/D82</f>
        <v>0.13</v>
      </c>
      <c r="Q81" s="137" t="s">
        <v>31</v>
      </c>
      <c r="R81" s="137"/>
      <c r="S81" s="17"/>
    </row>
    <row r="82" spans="1:19" s="95" customFormat="1" ht="18.95" customHeight="1" x14ac:dyDescent="0.25">
      <c r="A82" s="132"/>
      <c r="B82" s="187"/>
      <c r="C82" s="13"/>
      <c r="D82" s="186">
        <v>125</v>
      </c>
      <c r="E82" s="186">
        <v>5.13</v>
      </c>
      <c r="F82" s="186">
        <v>1.88</v>
      </c>
      <c r="G82" s="186">
        <v>7.38</v>
      </c>
      <c r="H82" s="186">
        <v>66.88</v>
      </c>
      <c r="I82" s="186">
        <v>0.04</v>
      </c>
      <c r="J82" s="186">
        <v>0.75</v>
      </c>
      <c r="K82" s="186">
        <v>12.5</v>
      </c>
      <c r="L82" s="186"/>
      <c r="M82" s="186">
        <v>155</v>
      </c>
      <c r="N82" s="186">
        <v>118.75</v>
      </c>
      <c r="O82" s="186">
        <v>18.75</v>
      </c>
      <c r="P82" s="186">
        <v>0.13</v>
      </c>
      <c r="Q82" s="136"/>
      <c r="R82" s="136"/>
      <c r="S82" s="13"/>
    </row>
  </sheetData>
  <mergeCells count="8">
    <mergeCell ref="A1:S1"/>
    <mergeCell ref="Q2:S2"/>
    <mergeCell ref="A2:A3"/>
    <mergeCell ref="B2:C2"/>
    <mergeCell ref="D2:D3"/>
    <mergeCell ref="E2:H2"/>
    <mergeCell ref="I2:L2"/>
    <mergeCell ref="M2:P2"/>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1"/>
  <sheetViews>
    <sheetView workbookViewId="0">
      <selection sqref="A1:B1"/>
    </sheetView>
  </sheetViews>
  <sheetFormatPr defaultRowHeight="12.75" x14ac:dyDescent="0.25"/>
  <cols>
    <col min="1" max="41" width="10.7109375" style="125" customWidth="1"/>
    <col min="42" max="16384" width="9.140625" style="125"/>
  </cols>
  <sheetData>
    <row r="1" spans="1:40" x14ac:dyDescent="0.25">
      <c r="A1" s="454" t="s">
        <v>214</v>
      </c>
      <c r="B1" s="454"/>
      <c r="F1" s="454" t="s">
        <v>215</v>
      </c>
      <c r="G1" s="454"/>
      <c r="H1" s="454"/>
      <c r="I1" s="454" t="s">
        <v>214</v>
      </c>
      <c r="J1" s="454"/>
      <c r="N1" s="454" t="s">
        <v>215</v>
      </c>
      <c r="O1" s="454"/>
      <c r="P1" s="454"/>
      <c r="Q1" s="454" t="s">
        <v>214</v>
      </c>
      <c r="R1" s="454"/>
      <c r="V1" s="454" t="s">
        <v>215</v>
      </c>
      <c r="W1" s="454"/>
      <c r="X1" s="454"/>
      <c r="Y1" s="454" t="s">
        <v>214</v>
      </c>
      <c r="Z1" s="454"/>
      <c r="AD1" s="454" t="s">
        <v>215</v>
      </c>
      <c r="AE1" s="454"/>
      <c r="AF1" s="454"/>
      <c r="AG1" s="454" t="s">
        <v>214</v>
      </c>
      <c r="AH1" s="454"/>
      <c r="AL1" s="454" t="s">
        <v>215</v>
      </c>
      <c r="AM1" s="454"/>
      <c r="AN1" s="454"/>
    </row>
    <row r="2" spans="1:40" x14ac:dyDescent="0.25">
      <c r="E2" s="454" t="s">
        <v>216</v>
      </c>
      <c r="F2" s="454"/>
      <c r="G2" s="454"/>
      <c r="H2" s="454"/>
      <c r="M2" s="454" t="s">
        <v>216</v>
      </c>
      <c r="N2" s="454"/>
      <c r="O2" s="454"/>
      <c r="P2" s="454"/>
      <c r="U2" s="454" t="s">
        <v>216</v>
      </c>
      <c r="V2" s="454"/>
      <c r="W2" s="454"/>
      <c r="X2" s="454"/>
      <c r="AC2" s="454" t="s">
        <v>216</v>
      </c>
      <c r="AD2" s="454"/>
      <c r="AE2" s="454"/>
      <c r="AF2" s="454"/>
      <c r="AK2" s="454" t="s">
        <v>216</v>
      </c>
      <c r="AL2" s="454"/>
      <c r="AM2" s="454"/>
      <c r="AN2" s="454"/>
    </row>
    <row r="3" spans="1:40" x14ac:dyDescent="0.25">
      <c r="E3" s="150"/>
      <c r="F3" s="150"/>
      <c r="G3" s="150"/>
      <c r="H3" s="150"/>
      <c r="M3" s="150"/>
      <c r="N3" s="150"/>
      <c r="O3" s="150"/>
      <c r="P3" s="150"/>
      <c r="U3" s="150"/>
      <c r="V3" s="150"/>
      <c r="W3" s="150"/>
      <c r="X3" s="150"/>
      <c r="AC3" s="150"/>
      <c r="AD3" s="150"/>
      <c r="AE3" s="150"/>
      <c r="AF3" s="150"/>
      <c r="AK3" s="150"/>
      <c r="AL3" s="150"/>
      <c r="AM3" s="150"/>
      <c r="AN3" s="150"/>
    </row>
    <row r="4" spans="1:40" ht="18.95" customHeight="1" x14ac:dyDescent="0.25">
      <c r="A4" s="414" t="s">
        <v>218</v>
      </c>
      <c r="B4" s="414"/>
      <c r="C4" s="414"/>
      <c r="D4" s="414"/>
      <c r="E4" s="414"/>
      <c r="F4" s="414"/>
      <c r="G4" s="414"/>
      <c r="H4" s="414"/>
      <c r="I4" s="414" t="s">
        <v>217</v>
      </c>
      <c r="J4" s="414"/>
      <c r="K4" s="414"/>
      <c r="L4" s="414"/>
      <c r="M4" s="414"/>
      <c r="N4" s="414"/>
      <c r="O4" s="414"/>
      <c r="P4" s="414"/>
      <c r="Q4" s="414" t="s">
        <v>219</v>
      </c>
      <c r="R4" s="414"/>
      <c r="S4" s="414"/>
      <c r="T4" s="414"/>
      <c r="U4" s="414"/>
      <c r="V4" s="414"/>
      <c r="W4" s="414"/>
      <c r="X4" s="414"/>
      <c r="Y4" s="414" t="s">
        <v>220</v>
      </c>
      <c r="Z4" s="414"/>
      <c r="AA4" s="414"/>
      <c r="AB4" s="414"/>
      <c r="AC4" s="414"/>
      <c r="AD4" s="414"/>
      <c r="AE4" s="414"/>
      <c r="AF4" s="414"/>
      <c r="AG4" s="414" t="s">
        <v>224</v>
      </c>
      <c r="AH4" s="414"/>
      <c r="AI4" s="414"/>
      <c r="AJ4" s="414"/>
      <c r="AK4" s="414"/>
      <c r="AL4" s="414"/>
      <c r="AM4" s="414"/>
      <c r="AN4" s="414"/>
    </row>
    <row r="5" spans="1:40" ht="18.95" customHeight="1" x14ac:dyDescent="0.25">
      <c r="A5" s="473" t="s">
        <v>225</v>
      </c>
      <c r="B5" s="465"/>
      <c r="C5" s="465"/>
      <c r="D5" s="465"/>
      <c r="E5" s="465"/>
      <c r="F5" s="465"/>
      <c r="G5" s="465"/>
      <c r="H5" s="465"/>
      <c r="I5" s="473" t="s">
        <v>226</v>
      </c>
      <c r="J5" s="465"/>
      <c r="K5" s="465"/>
      <c r="L5" s="465"/>
      <c r="M5" s="465"/>
      <c r="N5" s="465"/>
      <c r="O5" s="465"/>
      <c r="P5" s="465"/>
      <c r="Q5" s="473" t="s">
        <v>227</v>
      </c>
      <c r="R5" s="465"/>
      <c r="S5" s="465"/>
      <c r="T5" s="465"/>
      <c r="U5" s="465"/>
      <c r="V5" s="465"/>
      <c r="W5" s="465"/>
      <c r="X5" s="465"/>
      <c r="Y5" s="473" t="s">
        <v>894</v>
      </c>
      <c r="Z5" s="465"/>
      <c r="AA5" s="465"/>
      <c r="AB5" s="465"/>
      <c r="AC5" s="465"/>
      <c r="AD5" s="465"/>
      <c r="AE5" s="465"/>
      <c r="AF5" s="465"/>
      <c r="AG5" s="473" t="s">
        <v>228</v>
      </c>
      <c r="AH5" s="465"/>
      <c r="AI5" s="465"/>
      <c r="AJ5" s="465"/>
      <c r="AK5" s="465"/>
      <c r="AL5" s="465"/>
      <c r="AM5" s="465"/>
      <c r="AN5" s="465"/>
    </row>
    <row r="6" spans="1:40" ht="18.95" customHeight="1" x14ac:dyDescent="0.25">
      <c r="A6" s="473" t="s">
        <v>188</v>
      </c>
      <c r="B6" s="473"/>
      <c r="C6" s="473"/>
      <c r="D6" s="473"/>
      <c r="E6" s="473"/>
      <c r="F6" s="473"/>
      <c r="G6" s="473"/>
      <c r="H6" s="473"/>
      <c r="I6" s="473" t="s">
        <v>194</v>
      </c>
      <c r="J6" s="473"/>
      <c r="K6" s="473"/>
      <c r="L6" s="473"/>
      <c r="M6" s="473"/>
      <c r="N6" s="473"/>
      <c r="O6" s="473"/>
      <c r="P6" s="473"/>
      <c r="Q6" s="473" t="s">
        <v>197</v>
      </c>
      <c r="R6" s="473"/>
      <c r="S6" s="473"/>
      <c r="T6" s="473"/>
      <c r="U6" s="473"/>
      <c r="V6" s="473"/>
      <c r="W6" s="473"/>
      <c r="X6" s="473"/>
      <c r="Y6" s="473" t="s">
        <v>199</v>
      </c>
      <c r="Z6" s="473"/>
      <c r="AA6" s="473"/>
      <c r="AB6" s="473"/>
      <c r="AC6" s="473"/>
      <c r="AD6" s="473"/>
      <c r="AE6" s="473"/>
      <c r="AF6" s="473"/>
      <c r="AG6" s="473" t="s">
        <v>201</v>
      </c>
      <c r="AH6" s="473"/>
      <c r="AI6" s="473"/>
      <c r="AJ6" s="473"/>
      <c r="AK6" s="473"/>
      <c r="AL6" s="473"/>
      <c r="AM6" s="473"/>
      <c r="AN6" s="473"/>
    </row>
    <row r="7" spans="1:40" ht="18.95" customHeight="1" x14ac:dyDescent="0.25">
      <c r="A7" s="465" t="s">
        <v>189</v>
      </c>
      <c r="B7" s="465"/>
      <c r="C7" s="465"/>
      <c r="D7" s="465"/>
      <c r="E7" s="465"/>
      <c r="F7" s="465"/>
      <c r="G7" s="465"/>
      <c r="H7" s="465"/>
      <c r="I7" s="465" t="s">
        <v>189</v>
      </c>
      <c r="J7" s="465"/>
      <c r="K7" s="465"/>
      <c r="L7" s="465"/>
      <c r="M7" s="465"/>
      <c r="N7" s="465"/>
      <c r="O7" s="465"/>
      <c r="P7" s="465"/>
      <c r="Q7" s="465" t="s">
        <v>189</v>
      </c>
      <c r="R7" s="465"/>
      <c r="S7" s="465"/>
      <c r="T7" s="465"/>
      <c r="U7" s="465"/>
      <c r="V7" s="465"/>
      <c r="W7" s="465"/>
      <c r="X7" s="465"/>
      <c r="Y7" s="465" t="s">
        <v>189</v>
      </c>
      <c r="Z7" s="465"/>
      <c r="AA7" s="465"/>
      <c r="AB7" s="465"/>
      <c r="AC7" s="465"/>
      <c r="AD7" s="465"/>
      <c r="AE7" s="465"/>
      <c r="AF7" s="465"/>
      <c r="AG7" s="465" t="s">
        <v>189</v>
      </c>
      <c r="AH7" s="465"/>
      <c r="AI7" s="465"/>
      <c r="AJ7" s="465"/>
      <c r="AK7" s="465"/>
      <c r="AL7" s="465"/>
      <c r="AM7" s="465"/>
      <c r="AN7" s="465"/>
    </row>
    <row r="8" spans="1:40" ht="18.95" customHeight="1" x14ac:dyDescent="0.25">
      <c r="A8" s="465" t="s">
        <v>190</v>
      </c>
      <c r="B8" s="465"/>
      <c r="C8" s="465"/>
      <c r="D8" s="465"/>
      <c r="E8" s="465"/>
      <c r="F8" s="465"/>
      <c r="G8" s="465"/>
      <c r="H8" s="465"/>
      <c r="I8" s="465" t="s">
        <v>190</v>
      </c>
      <c r="J8" s="465"/>
      <c r="K8" s="465"/>
      <c r="L8" s="465"/>
      <c r="M8" s="465"/>
      <c r="N8" s="465"/>
      <c r="O8" s="465"/>
      <c r="P8" s="465"/>
      <c r="Q8" s="465" t="s">
        <v>190</v>
      </c>
      <c r="R8" s="465"/>
      <c r="S8" s="465"/>
      <c r="T8" s="465"/>
      <c r="U8" s="465"/>
      <c r="V8" s="465"/>
      <c r="W8" s="465"/>
      <c r="X8" s="465"/>
      <c r="Y8" s="465" t="s">
        <v>190</v>
      </c>
      <c r="Z8" s="465"/>
      <c r="AA8" s="465"/>
      <c r="AB8" s="465"/>
      <c r="AC8" s="465"/>
      <c r="AD8" s="465"/>
      <c r="AE8" s="465"/>
      <c r="AF8" s="465"/>
      <c r="AG8" s="465" t="s">
        <v>190</v>
      </c>
      <c r="AH8" s="465"/>
      <c r="AI8" s="465"/>
      <c r="AJ8" s="465"/>
      <c r="AK8" s="465"/>
      <c r="AL8" s="465"/>
      <c r="AM8" s="465"/>
      <c r="AN8" s="465"/>
    </row>
    <row r="9" spans="1:40" ht="18.95" customHeight="1" x14ac:dyDescent="0.25">
      <c r="C9" s="148"/>
      <c r="K9" s="148"/>
      <c r="S9" s="148"/>
      <c r="AA9" s="148"/>
      <c r="AI9" s="148"/>
    </row>
    <row r="10" spans="1:40" ht="18.95" customHeight="1" x14ac:dyDescent="0.25">
      <c r="B10" s="466" t="s">
        <v>174</v>
      </c>
      <c r="C10" s="467"/>
      <c r="D10" s="412" t="s">
        <v>179</v>
      </c>
      <c r="E10" s="412"/>
      <c r="F10" s="412"/>
      <c r="G10" s="412"/>
      <c r="J10" s="466" t="s">
        <v>174</v>
      </c>
      <c r="K10" s="467"/>
      <c r="L10" s="412" t="s">
        <v>179</v>
      </c>
      <c r="M10" s="412"/>
      <c r="N10" s="412"/>
      <c r="O10" s="412"/>
      <c r="R10" s="466" t="s">
        <v>174</v>
      </c>
      <c r="S10" s="467"/>
      <c r="T10" s="412" t="s">
        <v>179</v>
      </c>
      <c r="U10" s="412"/>
      <c r="V10" s="412"/>
      <c r="W10" s="412"/>
      <c r="Z10" s="466" t="s">
        <v>174</v>
      </c>
      <c r="AA10" s="467"/>
      <c r="AB10" s="412" t="s">
        <v>179</v>
      </c>
      <c r="AC10" s="412"/>
      <c r="AD10" s="412"/>
      <c r="AE10" s="412"/>
      <c r="AH10" s="466" t="s">
        <v>174</v>
      </c>
      <c r="AI10" s="467"/>
      <c r="AJ10" s="412" t="s">
        <v>179</v>
      </c>
      <c r="AK10" s="412"/>
      <c r="AL10" s="412"/>
      <c r="AM10" s="412"/>
    </row>
    <row r="11" spans="1:40" ht="18.95" customHeight="1" x14ac:dyDescent="0.25">
      <c r="B11" s="468"/>
      <c r="C11" s="469"/>
      <c r="D11" s="412" t="s">
        <v>177</v>
      </c>
      <c r="E11" s="412"/>
      <c r="F11" s="412" t="s">
        <v>178</v>
      </c>
      <c r="G11" s="412"/>
      <c r="J11" s="468"/>
      <c r="K11" s="469"/>
      <c r="L11" s="412" t="s">
        <v>177</v>
      </c>
      <c r="M11" s="412"/>
      <c r="N11" s="412" t="s">
        <v>178</v>
      </c>
      <c r="O11" s="412"/>
      <c r="R11" s="468"/>
      <c r="S11" s="469"/>
      <c r="T11" s="412" t="s">
        <v>177</v>
      </c>
      <c r="U11" s="412"/>
      <c r="V11" s="412" t="s">
        <v>178</v>
      </c>
      <c r="W11" s="412"/>
      <c r="Z11" s="468"/>
      <c r="AA11" s="469"/>
      <c r="AB11" s="412" t="s">
        <v>177</v>
      </c>
      <c r="AC11" s="412"/>
      <c r="AD11" s="412" t="s">
        <v>178</v>
      </c>
      <c r="AE11" s="412"/>
      <c r="AH11" s="468"/>
      <c r="AI11" s="469"/>
      <c r="AJ11" s="412" t="s">
        <v>177</v>
      </c>
      <c r="AK11" s="412"/>
      <c r="AL11" s="412" t="s">
        <v>178</v>
      </c>
      <c r="AM11" s="412"/>
    </row>
    <row r="12" spans="1:40" ht="18.95" customHeight="1" x14ac:dyDescent="0.25">
      <c r="B12" s="470"/>
      <c r="C12" s="471"/>
      <c r="D12" s="147" t="s">
        <v>175</v>
      </c>
      <c r="E12" s="147" t="s">
        <v>176</v>
      </c>
      <c r="F12" s="147" t="s">
        <v>175</v>
      </c>
      <c r="G12" s="147" t="s">
        <v>176</v>
      </c>
      <c r="J12" s="470"/>
      <c r="K12" s="471"/>
      <c r="L12" s="147" t="s">
        <v>175</v>
      </c>
      <c r="M12" s="147" t="s">
        <v>176</v>
      </c>
      <c r="N12" s="147" t="s">
        <v>175</v>
      </c>
      <c r="O12" s="147" t="s">
        <v>176</v>
      </c>
      <c r="R12" s="470"/>
      <c r="S12" s="471"/>
      <c r="T12" s="147" t="s">
        <v>175</v>
      </c>
      <c r="U12" s="147" t="s">
        <v>176</v>
      </c>
      <c r="V12" s="147" t="s">
        <v>175</v>
      </c>
      <c r="W12" s="147" t="s">
        <v>176</v>
      </c>
      <c r="Z12" s="470"/>
      <c r="AA12" s="471"/>
      <c r="AB12" s="147" t="s">
        <v>175</v>
      </c>
      <c r="AC12" s="147" t="s">
        <v>176</v>
      </c>
      <c r="AD12" s="147" t="s">
        <v>175</v>
      </c>
      <c r="AE12" s="147" t="s">
        <v>176</v>
      </c>
      <c r="AH12" s="470"/>
      <c r="AI12" s="471"/>
      <c r="AJ12" s="147" t="s">
        <v>175</v>
      </c>
      <c r="AK12" s="147" t="s">
        <v>176</v>
      </c>
      <c r="AL12" s="147" t="s">
        <v>175</v>
      </c>
      <c r="AM12" s="147" t="s">
        <v>176</v>
      </c>
    </row>
    <row r="13" spans="1:40" ht="18.95" customHeight="1" x14ac:dyDescent="0.25">
      <c r="B13" s="455" t="s">
        <v>896</v>
      </c>
      <c r="C13" s="456"/>
      <c r="D13" s="106">
        <f>16.5*E16/50</f>
        <v>16.5</v>
      </c>
      <c r="E13" s="106">
        <f>15*E16/50</f>
        <v>15</v>
      </c>
      <c r="F13" s="106">
        <f t="shared" ref="F13:G15" si="0">D13*100</f>
        <v>1650</v>
      </c>
      <c r="G13" s="106">
        <f t="shared" si="0"/>
        <v>1500</v>
      </c>
      <c r="J13" s="455" t="s">
        <v>195</v>
      </c>
      <c r="K13" s="456"/>
      <c r="L13" s="106">
        <f>21*M15/50</f>
        <v>25.2</v>
      </c>
      <c r="M13" s="106">
        <f>20*M15/50</f>
        <v>24</v>
      </c>
      <c r="N13" s="106">
        <f>L13*100</f>
        <v>2520</v>
      </c>
      <c r="O13" s="106">
        <f>M13*100</f>
        <v>2400</v>
      </c>
      <c r="R13" s="455" t="s">
        <v>896</v>
      </c>
      <c r="S13" s="456"/>
      <c r="T13" s="106">
        <f>16.5*U16/50</f>
        <v>16.5</v>
      </c>
      <c r="U13" s="106">
        <f>15*U16/50</f>
        <v>15</v>
      </c>
      <c r="V13" s="106">
        <f t="shared" ref="V13:W15" si="1">T13*100</f>
        <v>1650</v>
      </c>
      <c r="W13" s="106">
        <f t="shared" si="1"/>
        <v>1500</v>
      </c>
      <c r="Z13" s="455" t="s">
        <v>191</v>
      </c>
      <c r="AA13" s="456"/>
      <c r="AB13" s="106">
        <f>10*AC14/10</f>
        <v>10</v>
      </c>
      <c r="AC13" s="106">
        <f>10*AC14/10</f>
        <v>10</v>
      </c>
      <c r="AD13" s="106">
        <f>AB13*100</f>
        <v>1000</v>
      </c>
      <c r="AE13" s="106">
        <f>AC13*100</f>
        <v>1000</v>
      </c>
      <c r="AH13" s="455" t="s">
        <v>896</v>
      </c>
      <c r="AI13" s="456"/>
      <c r="AJ13" s="106">
        <f>33*AK14/30</f>
        <v>22</v>
      </c>
      <c r="AK13" s="106">
        <f>30*AK14/30</f>
        <v>20</v>
      </c>
      <c r="AL13" s="106">
        <f>AJ13*100</f>
        <v>2200</v>
      </c>
      <c r="AM13" s="106">
        <f>AK13*100</f>
        <v>2000</v>
      </c>
    </row>
    <row r="14" spans="1:40" ht="18.95" customHeight="1" x14ac:dyDescent="0.25">
      <c r="B14" s="455" t="s">
        <v>191</v>
      </c>
      <c r="C14" s="456"/>
      <c r="D14" s="106">
        <f>5*E16/50</f>
        <v>5</v>
      </c>
      <c r="E14" s="106">
        <f>5*E16/50</f>
        <v>5</v>
      </c>
      <c r="F14" s="106">
        <f t="shared" si="0"/>
        <v>500</v>
      </c>
      <c r="G14" s="106">
        <f t="shared" si="0"/>
        <v>500</v>
      </c>
      <c r="J14" s="455" t="s">
        <v>192</v>
      </c>
      <c r="K14" s="456"/>
      <c r="L14" s="106">
        <f>30*M15/50</f>
        <v>36</v>
      </c>
      <c r="M14" s="106">
        <f>30*M15/50</f>
        <v>36</v>
      </c>
      <c r="N14" s="106">
        <f>L14*100</f>
        <v>3600</v>
      </c>
      <c r="O14" s="106">
        <f>M14*100</f>
        <v>3600</v>
      </c>
      <c r="R14" s="455" t="s">
        <v>191</v>
      </c>
      <c r="S14" s="456"/>
      <c r="T14" s="106">
        <f>6*U16/50</f>
        <v>6</v>
      </c>
      <c r="U14" s="106">
        <f>6*U16/50</f>
        <v>6</v>
      </c>
      <c r="V14" s="106">
        <f t="shared" si="1"/>
        <v>600</v>
      </c>
      <c r="W14" s="106">
        <f t="shared" si="1"/>
        <v>600</v>
      </c>
      <c r="Z14" s="457" t="s">
        <v>180</v>
      </c>
      <c r="AA14" s="458"/>
      <c r="AB14" s="118"/>
      <c r="AC14" s="106">
        <f>салаты!B11</f>
        <v>10</v>
      </c>
      <c r="AD14" s="106"/>
      <c r="AE14" s="106">
        <f>AC14*100</f>
        <v>1000</v>
      </c>
      <c r="AH14" s="457" t="s">
        <v>180</v>
      </c>
      <c r="AI14" s="458"/>
      <c r="AJ14" s="118"/>
      <c r="AK14" s="106">
        <f>салаты!B13</f>
        <v>20</v>
      </c>
      <c r="AL14" s="106"/>
      <c r="AM14" s="106">
        <f>AK14*100</f>
        <v>2000</v>
      </c>
    </row>
    <row r="15" spans="1:40" ht="18.95" customHeight="1" x14ac:dyDescent="0.25">
      <c r="B15" s="455" t="s">
        <v>192</v>
      </c>
      <c r="C15" s="456"/>
      <c r="D15" s="106">
        <f>30*E16/50</f>
        <v>30</v>
      </c>
      <c r="E15" s="106">
        <f>30*E16/50</f>
        <v>30</v>
      </c>
      <c r="F15" s="106">
        <f t="shared" si="0"/>
        <v>3000</v>
      </c>
      <c r="G15" s="106">
        <f t="shared" si="0"/>
        <v>3000</v>
      </c>
      <c r="J15" s="457" t="s">
        <v>180</v>
      </c>
      <c r="K15" s="458"/>
      <c r="L15" s="118"/>
      <c r="M15" s="106">
        <f>салаты!B7</f>
        <v>60</v>
      </c>
      <c r="N15" s="106"/>
      <c r="O15" s="106">
        <f>M15*100</f>
        <v>6000</v>
      </c>
      <c r="R15" s="455" t="s">
        <v>192</v>
      </c>
      <c r="S15" s="456"/>
      <c r="T15" s="106">
        <f>30*U16/50</f>
        <v>30</v>
      </c>
      <c r="U15" s="106">
        <f>30*U16/50</f>
        <v>30</v>
      </c>
      <c r="V15" s="106">
        <f t="shared" si="1"/>
        <v>3000</v>
      </c>
      <c r="W15" s="106">
        <f t="shared" si="1"/>
        <v>3000</v>
      </c>
    </row>
    <row r="16" spans="1:40" ht="18.95" customHeight="1" x14ac:dyDescent="0.25">
      <c r="B16" s="457" t="s">
        <v>180</v>
      </c>
      <c r="C16" s="458"/>
      <c r="D16" s="118"/>
      <c r="E16" s="106">
        <f>салаты!B5</f>
        <v>50</v>
      </c>
      <c r="F16" s="106"/>
      <c r="G16" s="106">
        <f>E16*100</f>
        <v>5000</v>
      </c>
      <c r="R16" s="457" t="s">
        <v>180</v>
      </c>
      <c r="S16" s="458"/>
      <c r="T16" s="118"/>
      <c r="U16" s="106">
        <f>салаты!B9</f>
        <v>50</v>
      </c>
      <c r="V16" s="106"/>
      <c r="W16" s="106">
        <f>U16*100</f>
        <v>5000</v>
      </c>
      <c r="Y16" s="459" t="s">
        <v>181</v>
      </c>
      <c r="Z16" s="459"/>
      <c r="AA16" s="459"/>
      <c r="AB16" s="459"/>
      <c r="AC16" s="459"/>
      <c r="AD16" s="459"/>
      <c r="AE16" s="459"/>
      <c r="AF16" s="459"/>
      <c r="AG16" s="459" t="s">
        <v>181</v>
      </c>
      <c r="AH16" s="459"/>
      <c r="AI16" s="459"/>
      <c r="AJ16" s="459"/>
      <c r="AK16" s="459"/>
      <c r="AL16" s="459"/>
      <c r="AM16" s="459"/>
      <c r="AN16" s="459"/>
    </row>
    <row r="17" spans="1:40" ht="18.95" customHeight="1" x14ac:dyDescent="0.25">
      <c r="I17" s="459" t="s">
        <v>181</v>
      </c>
      <c r="J17" s="459"/>
      <c r="K17" s="459"/>
      <c r="L17" s="459"/>
      <c r="M17" s="459"/>
      <c r="N17" s="459"/>
      <c r="O17" s="459"/>
      <c r="P17" s="459"/>
      <c r="Y17" s="147" t="s">
        <v>182</v>
      </c>
      <c r="Z17" s="147" t="s">
        <v>106</v>
      </c>
      <c r="AA17" s="115" t="s">
        <v>107</v>
      </c>
      <c r="AB17" s="116" t="s">
        <v>187</v>
      </c>
      <c r="AC17" s="147" t="s">
        <v>183</v>
      </c>
      <c r="AD17" s="147" t="s">
        <v>184</v>
      </c>
      <c r="AE17" s="147" t="s">
        <v>185</v>
      </c>
      <c r="AF17" s="147" t="s">
        <v>186</v>
      </c>
      <c r="AG17" s="147" t="s">
        <v>182</v>
      </c>
      <c r="AH17" s="147" t="s">
        <v>106</v>
      </c>
      <c r="AI17" s="115" t="s">
        <v>107</v>
      </c>
      <c r="AJ17" s="116" t="s">
        <v>187</v>
      </c>
      <c r="AK17" s="147" t="s">
        <v>183</v>
      </c>
      <c r="AL17" s="147" t="s">
        <v>184</v>
      </c>
      <c r="AM17" s="147" t="s">
        <v>185</v>
      </c>
      <c r="AN17" s="147" t="s">
        <v>186</v>
      </c>
    </row>
    <row r="18" spans="1:40" ht="18.95" customHeight="1" x14ac:dyDescent="0.25">
      <c r="A18" s="454" t="s">
        <v>181</v>
      </c>
      <c r="B18" s="454"/>
      <c r="C18" s="454"/>
      <c r="D18" s="454"/>
      <c r="E18" s="454"/>
      <c r="F18" s="454"/>
      <c r="G18" s="454"/>
      <c r="H18" s="454"/>
      <c r="I18" s="147" t="s">
        <v>182</v>
      </c>
      <c r="J18" s="147" t="s">
        <v>106</v>
      </c>
      <c r="K18" s="115" t="s">
        <v>107</v>
      </c>
      <c r="L18" s="116" t="s">
        <v>187</v>
      </c>
      <c r="M18" s="147" t="s">
        <v>183</v>
      </c>
      <c r="N18" s="147" t="s">
        <v>184</v>
      </c>
      <c r="O18" s="147" t="s">
        <v>185</v>
      </c>
      <c r="P18" s="147" t="s">
        <v>186</v>
      </c>
      <c r="Q18" s="454" t="s">
        <v>181</v>
      </c>
      <c r="R18" s="454"/>
      <c r="S18" s="454"/>
      <c r="T18" s="454"/>
      <c r="U18" s="454"/>
      <c r="V18" s="454"/>
      <c r="W18" s="454"/>
      <c r="X18" s="454"/>
      <c r="Y18" s="41">
        <f>салаты!E11</f>
        <v>0.08</v>
      </c>
      <c r="Z18" s="41">
        <f>салаты!F11</f>
        <v>7.25</v>
      </c>
      <c r="AA18" s="41">
        <f>салаты!G11</f>
        <v>0.13</v>
      </c>
      <c r="AB18" s="41">
        <f>салаты!H11</f>
        <v>66</v>
      </c>
      <c r="AC18" s="41">
        <f>салаты!M11</f>
        <v>2.4</v>
      </c>
      <c r="AD18" s="41">
        <f>салаты!O11</f>
        <v>0</v>
      </c>
      <c r="AE18" s="41">
        <f>салаты!P11</f>
        <v>0.02</v>
      </c>
      <c r="AF18" s="41">
        <f>салаты!J11</f>
        <v>0</v>
      </c>
      <c r="AG18" s="41">
        <f>салаты!E13</f>
        <v>5.26</v>
      </c>
      <c r="AH18" s="41">
        <f>салаты!F13</f>
        <v>5.3200000000000012</v>
      </c>
      <c r="AI18" s="41">
        <f>салаты!G13</f>
        <v>0</v>
      </c>
      <c r="AJ18" s="41">
        <f>салаты!H13</f>
        <v>68.666666666666671</v>
      </c>
      <c r="AK18" s="41">
        <f>салаты!M13</f>
        <v>200</v>
      </c>
      <c r="AL18" s="41">
        <f>салаты!O13</f>
        <v>11</v>
      </c>
      <c r="AM18" s="41">
        <f>салаты!P13</f>
        <v>0.14000000000000001</v>
      </c>
      <c r="AN18" s="41">
        <f>салаты!J13</f>
        <v>0.14000000000000001</v>
      </c>
    </row>
    <row r="19" spans="1:40" ht="18.95" customHeight="1" x14ac:dyDescent="0.25">
      <c r="A19" s="147" t="s">
        <v>182</v>
      </c>
      <c r="B19" s="147" t="s">
        <v>106</v>
      </c>
      <c r="C19" s="115" t="s">
        <v>107</v>
      </c>
      <c r="D19" s="116" t="s">
        <v>187</v>
      </c>
      <c r="E19" s="147" t="s">
        <v>183</v>
      </c>
      <c r="F19" s="147" t="s">
        <v>184</v>
      </c>
      <c r="G19" s="147" t="s">
        <v>185</v>
      </c>
      <c r="H19" s="147" t="s">
        <v>186</v>
      </c>
      <c r="I19" s="41">
        <f>салаты!E7</f>
        <v>1.93</v>
      </c>
      <c r="J19" s="41">
        <f>салаты!F7</f>
        <v>0.15</v>
      </c>
      <c r="K19" s="41">
        <f>салаты!G7</f>
        <v>3.2160000000000002</v>
      </c>
      <c r="L19" s="41">
        <f>салаты!H7</f>
        <v>53.76</v>
      </c>
      <c r="M19" s="41">
        <f>салаты!M7</f>
        <v>15.545999999999999</v>
      </c>
      <c r="N19" s="41">
        <f>салаты!O7</f>
        <v>10.98</v>
      </c>
      <c r="O19" s="41">
        <f>салаты!P7</f>
        <v>0.57599999999999996</v>
      </c>
      <c r="P19" s="41">
        <f>салаты!J7</f>
        <v>2.6280000000000001</v>
      </c>
      <c r="Q19" s="147" t="s">
        <v>182</v>
      </c>
      <c r="R19" s="147" t="s">
        <v>106</v>
      </c>
      <c r="S19" s="115" t="s">
        <v>107</v>
      </c>
      <c r="T19" s="116" t="s">
        <v>187</v>
      </c>
      <c r="U19" s="147" t="s">
        <v>183</v>
      </c>
      <c r="V19" s="147" t="s">
        <v>184</v>
      </c>
      <c r="W19" s="147" t="s">
        <v>185</v>
      </c>
      <c r="X19" s="147" t="s">
        <v>186</v>
      </c>
    </row>
    <row r="20" spans="1:40" ht="18.95" customHeight="1" x14ac:dyDescent="0.25">
      <c r="A20" s="41">
        <f>салаты!E5</f>
        <v>6.27</v>
      </c>
      <c r="B20" s="41">
        <f>салаты!F5</f>
        <v>7.86</v>
      </c>
      <c r="C20" s="41">
        <f>салаты!G5</f>
        <v>14.83</v>
      </c>
      <c r="D20" s="41">
        <f>салаты!H5</f>
        <v>155</v>
      </c>
      <c r="E20" s="41">
        <f>салаты!M5</f>
        <v>157.19999999999999</v>
      </c>
      <c r="F20" s="41">
        <f>салаты!O5</f>
        <v>12.45</v>
      </c>
      <c r="G20" s="41">
        <f>салаты!P5</f>
        <v>0.4</v>
      </c>
      <c r="H20" s="41">
        <f>салаты!J5</f>
        <v>0.11</v>
      </c>
      <c r="Q20" s="41">
        <f>салаты!E9</f>
        <v>6.03</v>
      </c>
      <c r="R20" s="41">
        <f>салаты!F9</f>
        <v>3.67</v>
      </c>
      <c r="S20" s="41">
        <f>салаты!G9</f>
        <v>14.84</v>
      </c>
      <c r="T20" s="41">
        <f>салаты!H9</f>
        <v>117</v>
      </c>
      <c r="U20" s="41">
        <f>салаты!M9</f>
        <v>150</v>
      </c>
      <c r="V20" s="41">
        <f>салаты!O9</f>
        <v>8.25</v>
      </c>
      <c r="W20" s="41">
        <f>салаты!P9</f>
        <v>0.11</v>
      </c>
      <c r="X20" s="41">
        <f>салаты!J9</f>
        <v>0.06</v>
      </c>
      <c r="Y20" s="462" t="s">
        <v>200</v>
      </c>
      <c r="Z20" s="462"/>
      <c r="AA20" s="462"/>
      <c r="AB20" s="462"/>
      <c r="AC20" s="462"/>
      <c r="AD20" s="462"/>
      <c r="AE20" s="462"/>
      <c r="AF20" s="462"/>
      <c r="AG20" s="462" t="s">
        <v>202</v>
      </c>
      <c r="AH20" s="462"/>
      <c r="AI20" s="462"/>
      <c r="AJ20" s="462"/>
      <c r="AK20" s="462"/>
      <c r="AL20" s="462"/>
      <c r="AM20" s="462"/>
      <c r="AN20" s="462"/>
    </row>
    <row r="21" spans="1:40" ht="18.95" customHeight="1" x14ac:dyDescent="0.25">
      <c r="I21" s="473" t="s">
        <v>196</v>
      </c>
      <c r="J21" s="473"/>
      <c r="K21" s="473"/>
      <c r="L21" s="473"/>
      <c r="M21" s="473"/>
      <c r="N21" s="473"/>
      <c r="O21" s="473"/>
      <c r="P21" s="473"/>
      <c r="AG21" s="462"/>
      <c r="AH21" s="462"/>
      <c r="AI21" s="462"/>
      <c r="AJ21" s="462"/>
      <c r="AK21" s="462"/>
      <c r="AL21" s="462"/>
      <c r="AM21" s="462"/>
      <c r="AN21" s="462"/>
    </row>
    <row r="22" spans="1:40" ht="18.95" customHeight="1" x14ac:dyDescent="0.25">
      <c r="A22" s="473" t="s">
        <v>193</v>
      </c>
      <c r="B22" s="473"/>
      <c r="C22" s="473"/>
      <c r="D22" s="473"/>
      <c r="E22" s="473"/>
      <c r="F22" s="473"/>
      <c r="G22" s="473"/>
      <c r="H22" s="473"/>
      <c r="Q22" s="462" t="s">
        <v>198</v>
      </c>
      <c r="R22" s="462"/>
      <c r="S22" s="462"/>
      <c r="T22" s="462"/>
      <c r="U22" s="462"/>
      <c r="V22" s="462"/>
      <c r="W22" s="462"/>
      <c r="X22" s="462"/>
      <c r="Y22" s="454" t="s">
        <v>232</v>
      </c>
      <c r="Z22" s="454"/>
      <c r="AA22" s="454"/>
    </row>
    <row r="23" spans="1:40" ht="18.95" customHeight="1" x14ac:dyDescent="0.25">
      <c r="I23" s="454" t="s">
        <v>232</v>
      </c>
      <c r="J23" s="454"/>
      <c r="K23" s="454"/>
      <c r="Q23" s="462"/>
      <c r="R23" s="462"/>
      <c r="S23" s="462"/>
      <c r="T23" s="462"/>
      <c r="U23" s="462"/>
      <c r="V23" s="462"/>
      <c r="W23" s="462"/>
      <c r="X23" s="462"/>
      <c r="Y23" s="119"/>
      <c r="Z23" s="119"/>
      <c r="AA23" s="119"/>
      <c r="AB23" s="119"/>
      <c r="AC23" s="119"/>
      <c r="AD23" s="119"/>
      <c r="AE23" s="119"/>
      <c r="AF23" s="119"/>
      <c r="AG23" s="454" t="s">
        <v>232</v>
      </c>
      <c r="AH23" s="454"/>
      <c r="AI23" s="454"/>
    </row>
    <row r="24" spans="1:40" ht="18.95" customHeight="1" x14ac:dyDescent="0.25">
      <c r="A24" s="454" t="s">
        <v>232</v>
      </c>
      <c r="B24" s="454"/>
      <c r="C24" s="454"/>
    </row>
    <row r="25" spans="1:40" ht="18.95" customHeight="1" x14ac:dyDescent="0.25">
      <c r="Q25" s="454" t="s">
        <v>232</v>
      </c>
      <c r="R25" s="454"/>
      <c r="S25" s="454"/>
    </row>
    <row r="26" spans="1:40" ht="18.95" customHeight="1" x14ac:dyDescent="0.25"/>
    <row r="27" spans="1:40" ht="18.95" customHeight="1" x14ac:dyDescent="0.25"/>
    <row r="28" spans="1:40" ht="18.95" customHeight="1" x14ac:dyDescent="0.25"/>
    <row r="29" spans="1:40" ht="18.95" customHeight="1" x14ac:dyDescent="0.25"/>
    <row r="30" spans="1:40" ht="18.95" customHeight="1" x14ac:dyDescent="0.25"/>
    <row r="31" spans="1:40" ht="18.95" customHeight="1" x14ac:dyDescent="0.25"/>
    <row r="32" spans="1:40" ht="18.95" customHeight="1" x14ac:dyDescent="0.25"/>
    <row r="33" spans="1:40" ht="18.95" customHeight="1" x14ac:dyDescent="0.25"/>
    <row r="34" spans="1:40" ht="18.95" customHeight="1" x14ac:dyDescent="0.25"/>
    <row r="35" spans="1:40" ht="18.95" customHeight="1" x14ac:dyDescent="0.25"/>
    <row r="36" spans="1:40" ht="18.95" customHeight="1" x14ac:dyDescent="0.25"/>
    <row r="37" spans="1:40" ht="18.95" customHeight="1" x14ac:dyDescent="0.25"/>
    <row r="38" spans="1:40" ht="18.95" customHeight="1" x14ac:dyDescent="0.25"/>
    <row r="39" spans="1:40" ht="18.95" customHeight="1" x14ac:dyDescent="0.25"/>
    <row r="40" spans="1:40" ht="18.95" customHeight="1" x14ac:dyDescent="0.25"/>
    <row r="41" spans="1:40" ht="18.95" customHeight="1" x14ac:dyDescent="0.25"/>
    <row r="42" spans="1:40" x14ac:dyDescent="0.25">
      <c r="A42" s="454" t="s">
        <v>214</v>
      </c>
      <c r="B42" s="454"/>
      <c r="F42" s="454" t="s">
        <v>215</v>
      </c>
      <c r="G42" s="454"/>
      <c r="H42" s="454"/>
      <c r="I42" s="454" t="s">
        <v>214</v>
      </c>
      <c r="J42" s="454"/>
      <c r="N42" s="454" t="s">
        <v>215</v>
      </c>
      <c r="O42" s="454"/>
      <c r="P42" s="454"/>
      <c r="Q42" s="454" t="s">
        <v>214</v>
      </c>
      <c r="R42" s="454"/>
      <c r="V42" s="454" t="s">
        <v>215</v>
      </c>
      <c r="W42" s="454"/>
      <c r="X42" s="454"/>
      <c r="Y42" s="472" t="s">
        <v>214</v>
      </c>
      <c r="Z42" s="472"/>
      <c r="AA42" s="167"/>
      <c r="AB42" s="167"/>
      <c r="AC42" s="167"/>
      <c r="AD42" s="472" t="s">
        <v>215</v>
      </c>
      <c r="AE42" s="472"/>
      <c r="AF42" s="472"/>
      <c r="AG42" s="472" t="s">
        <v>214</v>
      </c>
      <c r="AH42" s="472"/>
      <c r="AI42" s="167"/>
      <c r="AJ42" s="167"/>
      <c r="AK42" s="167"/>
      <c r="AL42" s="472" t="s">
        <v>215</v>
      </c>
      <c r="AM42" s="472"/>
      <c r="AN42" s="472"/>
    </row>
    <row r="43" spans="1:40" x14ac:dyDescent="0.25">
      <c r="E43" s="454" t="s">
        <v>216</v>
      </c>
      <c r="F43" s="454"/>
      <c r="G43" s="454"/>
      <c r="H43" s="454"/>
      <c r="M43" s="454" t="s">
        <v>216</v>
      </c>
      <c r="N43" s="454"/>
      <c r="O43" s="454"/>
      <c r="P43" s="454"/>
      <c r="U43" s="454" t="s">
        <v>216</v>
      </c>
      <c r="V43" s="454"/>
      <c r="W43" s="454"/>
      <c r="X43" s="454"/>
      <c r="AC43" s="454" t="s">
        <v>216</v>
      </c>
      <c r="AD43" s="454"/>
      <c r="AE43" s="454"/>
      <c r="AF43" s="454"/>
      <c r="AK43" s="454" t="s">
        <v>216</v>
      </c>
      <c r="AL43" s="454"/>
      <c r="AM43" s="454"/>
      <c r="AN43" s="454"/>
    </row>
    <row r="44" spans="1:40" x14ac:dyDescent="0.25">
      <c r="E44" s="150"/>
      <c r="F44" s="150"/>
      <c r="G44" s="150"/>
      <c r="H44" s="150"/>
      <c r="M44" s="150"/>
      <c r="N44" s="150"/>
      <c r="O44" s="150"/>
      <c r="P44" s="150"/>
      <c r="U44" s="150"/>
      <c r="V44" s="150"/>
      <c r="W44" s="150"/>
      <c r="X44" s="150"/>
      <c r="AC44" s="150"/>
      <c r="AD44" s="150"/>
      <c r="AE44" s="150"/>
      <c r="AF44" s="150"/>
      <c r="AK44" s="150"/>
      <c r="AL44" s="150"/>
      <c r="AM44" s="150"/>
      <c r="AN44" s="150"/>
    </row>
    <row r="45" spans="1:40" ht="18.95" customHeight="1" x14ac:dyDescent="0.25">
      <c r="A45" s="414" t="s">
        <v>223</v>
      </c>
      <c r="B45" s="414"/>
      <c r="C45" s="414"/>
      <c r="D45" s="414"/>
      <c r="E45" s="414"/>
      <c r="F45" s="414"/>
      <c r="G45" s="414"/>
      <c r="H45" s="414"/>
      <c r="I45" s="414" t="s">
        <v>222</v>
      </c>
      <c r="J45" s="414"/>
      <c r="K45" s="414"/>
      <c r="L45" s="414"/>
      <c r="M45" s="414"/>
      <c r="N45" s="414"/>
      <c r="O45" s="414"/>
      <c r="P45" s="414"/>
      <c r="Q45" s="414" t="s">
        <v>221</v>
      </c>
      <c r="R45" s="414"/>
      <c r="S45" s="414"/>
      <c r="T45" s="414"/>
      <c r="U45" s="414"/>
      <c r="V45" s="414"/>
      <c r="W45" s="414"/>
      <c r="X45" s="414"/>
      <c r="Y45" s="414" t="s">
        <v>233</v>
      </c>
      <c r="Z45" s="414"/>
      <c r="AA45" s="414"/>
      <c r="AB45" s="414"/>
      <c r="AC45" s="414"/>
      <c r="AD45" s="414"/>
      <c r="AE45" s="414"/>
      <c r="AF45" s="414"/>
      <c r="AG45" s="414" t="s">
        <v>234</v>
      </c>
      <c r="AH45" s="414"/>
      <c r="AI45" s="414"/>
      <c r="AJ45" s="414"/>
      <c r="AK45" s="414"/>
      <c r="AL45" s="414"/>
      <c r="AM45" s="414"/>
      <c r="AN45" s="414"/>
    </row>
    <row r="46" spans="1:40" ht="18.95" customHeight="1" x14ac:dyDescent="0.25">
      <c r="A46" s="473" t="s">
        <v>229</v>
      </c>
      <c r="B46" s="473"/>
      <c r="C46" s="473"/>
      <c r="D46" s="473"/>
      <c r="E46" s="473"/>
      <c r="F46" s="473"/>
      <c r="G46" s="473"/>
      <c r="H46" s="473"/>
      <c r="I46" s="473" t="s">
        <v>230</v>
      </c>
      <c r="J46" s="473"/>
      <c r="K46" s="473"/>
      <c r="L46" s="473"/>
      <c r="M46" s="473"/>
      <c r="N46" s="473"/>
      <c r="O46" s="473"/>
      <c r="P46" s="473"/>
      <c r="Q46" s="473" t="s">
        <v>231</v>
      </c>
      <c r="R46" s="465"/>
      <c r="S46" s="465"/>
      <c r="T46" s="465"/>
      <c r="U46" s="465"/>
      <c r="V46" s="465"/>
      <c r="W46" s="465"/>
      <c r="X46" s="465"/>
      <c r="Y46" s="473" t="s">
        <v>901</v>
      </c>
      <c r="Z46" s="465"/>
      <c r="AA46" s="465"/>
      <c r="AB46" s="465"/>
      <c r="AC46" s="465"/>
      <c r="AD46" s="465"/>
      <c r="AE46" s="465"/>
      <c r="AF46" s="465"/>
      <c r="AG46" s="473" t="s">
        <v>903</v>
      </c>
      <c r="AH46" s="465"/>
      <c r="AI46" s="465"/>
      <c r="AJ46" s="465"/>
      <c r="AK46" s="465"/>
      <c r="AL46" s="465"/>
      <c r="AM46" s="465"/>
      <c r="AN46" s="465"/>
    </row>
    <row r="47" spans="1:40" ht="18.95" customHeight="1" x14ac:dyDescent="0.25">
      <c r="A47" s="473" t="s">
        <v>203</v>
      </c>
      <c r="B47" s="473"/>
      <c r="C47" s="473"/>
      <c r="D47" s="473"/>
      <c r="E47" s="473"/>
      <c r="F47" s="473"/>
      <c r="G47" s="473"/>
      <c r="H47" s="473"/>
      <c r="I47" s="473" t="s">
        <v>205</v>
      </c>
      <c r="J47" s="473"/>
      <c r="K47" s="473"/>
      <c r="L47" s="473"/>
      <c r="M47" s="473"/>
      <c r="N47" s="473"/>
      <c r="O47" s="473"/>
      <c r="P47" s="473"/>
      <c r="Q47" s="473" t="s">
        <v>209</v>
      </c>
      <c r="R47" s="473"/>
      <c r="S47" s="473"/>
      <c r="T47" s="473"/>
      <c r="U47" s="473"/>
      <c r="V47" s="473"/>
      <c r="W47" s="473"/>
      <c r="X47" s="473"/>
      <c r="Y47" s="473" t="s">
        <v>237</v>
      </c>
      <c r="Z47" s="473"/>
      <c r="AA47" s="473"/>
      <c r="AB47" s="473"/>
      <c r="AC47" s="473"/>
      <c r="AD47" s="473"/>
      <c r="AE47" s="473"/>
      <c r="AF47" s="473"/>
      <c r="AG47" s="473" t="s">
        <v>238</v>
      </c>
      <c r="AH47" s="473"/>
      <c r="AI47" s="473"/>
      <c r="AJ47" s="473"/>
      <c r="AK47" s="473"/>
      <c r="AL47" s="473"/>
      <c r="AM47" s="473"/>
      <c r="AN47" s="473"/>
    </row>
    <row r="48" spans="1:40" ht="18.95" customHeight="1" x14ac:dyDescent="0.25">
      <c r="A48" s="465" t="s">
        <v>189</v>
      </c>
      <c r="B48" s="465"/>
      <c r="C48" s="465"/>
      <c r="D48" s="465"/>
      <c r="E48" s="465"/>
      <c r="F48" s="465"/>
      <c r="G48" s="465"/>
      <c r="H48" s="465"/>
      <c r="I48" s="465" t="s">
        <v>189</v>
      </c>
      <c r="J48" s="465"/>
      <c r="K48" s="465"/>
      <c r="L48" s="465"/>
      <c r="M48" s="465"/>
      <c r="N48" s="465"/>
      <c r="O48" s="465"/>
      <c r="P48" s="465"/>
      <c r="Q48" s="465" t="s">
        <v>189</v>
      </c>
      <c r="R48" s="465"/>
      <c r="S48" s="465"/>
      <c r="T48" s="465"/>
      <c r="U48" s="465"/>
      <c r="V48" s="465"/>
      <c r="W48" s="465"/>
      <c r="X48" s="465"/>
      <c r="Y48" s="465" t="s">
        <v>189</v>
      </c>
      <c r="Z48" s="465"/>
      <c r="AA48" s="465"/>
      <c r="AB48" s="465"/>
      <c r="AC48" s="465"/>
      <c r="AD48" s="465"/>
      <c r="AE48" s="465"/>
      <c r="AF48" s="465"/>
      <c r="AG48" s="465" t="s">
        <v>189</v>
      </c>
      <c r="AH48" s="465"/>
      <c r="AI48" s="465"/>
      <c r="AJ48" s="465"/>
      <c r="AK48" s="465"/>
      <c r="AL48" s="465"/>
      <c r="AM48" s="465"/>
      <c r="AN48" s="465"/>
    </row>
    <row r="49" spans="1:40" ht="18.95" customHeight="1" x14ac:dyDescent="0.25">
      <c r="A49" s="465" t="s">
        <v>190</v>
      </c>
      <c r="B49" s="465"/>
      <c r="C49" s="465"/>
      <c r="D49" s="465"/>
      <c r="E49" s="465"/>
      <c r="F49" s="465"/>
      <c r="G49" s="465"/>
      <c r="H49" s="465"/>
      <c r="I49" s="465" t="s">
        <v>190</v>
      </c>
      <c r="J49" s="465"/>
      <c r="K49" s="465"/>
      <c r="L49" s="465"/>
      <c r="M49" s="465"/>
      <c r="N49" s="465"/>
      <c r="O49" s="465"/>
      <c r="P49" s="465"/>
      <c r="Q49" s="465" t="s">
        <v>190</v>
      </c>
      <c r="R49" s="465"/>
      <c r="S49" s="465"/>
      <c r="T49" s="465"/>
      <c r="U49" s="465"/>
      <c r="V49" s="465"/>
      <c r="W49" s="465"/>
      <c r="X49" s="465"/>
      <c r="Y49" s="465" t="s">
        <v>190</v>
      </c>
      <c r="Z49" s="465"/>
      <c r="AA49" s="465"/>
      <c r="AB49" s="465"/>
      <c r="AC49" s="465"/>
      <c r="AD49" s="465"/>
      <c r="AE49" s="465"/>
      <c r="AF49" s="465"/>
      <c r="AG49" s="465" t="s">
        <v>190</v>
      </c>
      <c r="AH49" s="465"/>
      <c r="AI49" s="465"/>
      <c r="AJ49" s="465"/>
      <c r="AK49" s="465"/>
      <c r="AL49" s="465"/>
      <c r="AM49" s="465"/>
      <c r="AN49" s="465"/>
    </row>
    <row r="50" spans="1:40" ht="18.95" customHeight="1" x14ac:dyDescent="0.25">
      <c r="C50" s="148"/>
      <c r="K50" s="148"/>
      <c r="S50" s="148"/>
      <c r="AA50" s="148"/>
      <c r="AI50" s="148"/>
    </row>
    <row r="51" spans="1:40" ht="18.95" customHeight="1" x14ac:dyDescent="0.25">
      <c r="B51" s="466" t="s">
        <v>174</v>
      </c>
      <c r="C51" s="467"/>
      <c r="D51" s="474" t="s">
        <v>179</v>
      </c>
      <c r="E51" s="475"/>
      <c r="F51" s="475"/>
      <c r="G51" s="476"/>
      <c r="J51" s="466" t="s">
        <v>174</v>
      </c>
      <c r="K51" s="467"/>
      <c r="L51" s="474" t="s">
        <v>179</v>
      </c>
      <c r="M51" s="475"/>
      <c r="N51" s="475"/>
      <c r="O51" s="476"/>
      <c r="R51" s="466" t="s">
        <v>174</v>
      </c>
      <c r="S51" s="467"/>
      <c r="T51" s="412" t="s">
        <v>179</v>
      </c>
      <c r="U51" s="412"/>
      <c r="V51" s="412"/>
      <c r="W51" s="412"/>
      <c r="Z51" s="466" t="s">
        <v>174</v>
      </c>
      <c r="AA51" s="467"/>
      <c r="AB51" s="412" t="s">
        <v>179</v>
      </c>
      <c r="AC51" s="412"/>
      <c r="AD51" s="412"/>
      <c r="AE51" s="412"/>
      <c r="AH51" s="466" t="s">
        <v>174</v>
      </c>
      <c r="AI51" s="467"/>
      <c r="AJ51" s="412" t="s">
        <v>179</v>
      </c>
      <c r="AK51" s="412"/>
      <c r="AL51" s="412"/>
      <c r="AM51" s="412"/>
    </row>
    <row r="52" spans="1:40" ht="18.95" customHeight="1" x14ac:dyDescent="0.25">
      <c r="B52" s="468"/>
      <c r="C52" s="469"/>
      <c r="D52" s="474" t="s">
        <v>177</v>
      </c>
      <c r="E52" s="476"/>
      <c r="F52" s="474" t="s">
        <v>178</v>
      </c>
      <c r="G52" s="476"/>
      <c r="J52" s="468"/>
      <c r="K52" s="469"/>
      <c r="L52" s="474" t="s">
        <v>177</v>
      </c>
      <c r="M52" s="476"/>
      <c r="N52" s="474" t="s">
        <v>178</v>
      </c>
      <c r="O52" s="476"/>
      <c r="R52" s="468"/>
      <c r="S52" s="469"/>
      <c r="T52" s="412" t="s">
        <v>177</v>
      </c>
      <c r="U52" s="412"/>
      <c r="V52" s="412" t="s">
        <v>178</v>
      </c>
      <c r="W52" s="412"/>
      <c r="Z52" s="468"/>
      <c r="AA52" s="469"/>
      <c r="AB52" s="412" t="s">
        <v>177</v>
      </c>
      <c r="AC52" s="412"/>
      <c r="AD52" s="412" t="s">
        <v>178</v>
      </c>
      <c r="AE52" s="412"/>
      <c r="AH52" s="468"/>
      <c r="AI52" s="469"/>
      <c r="AJ52" s="412" t="s">
        <v>177</v>
      </c>
      <c r="AK52" s="412"/>
      <c r="AL52" s="412" t="s">
        <v>178</v>
      </c>
      <c r="AM52" s="412"/>
    </row>
    <row r="53" spans="1:40" ht="18.95" customHeight="1" x14ac:dyDescent="0.25">
      <c r="B53" s="470"/>
      <c r="C53" s="471"/>
      <c r="D53" s="147" t="s">
        <v>175</v>
      </c>
      <c r="E53" s="147" t="s">
        <v>176</v>
      </c>
      <c r="F53" s="147" t="s">
        <v>175</v>
      </c>
      <c r="G53" s="147" t="s">
        <v>176</v>
      </c>
      <c r="J53" s="470"/>
      <c r="K53" s="471"/>
      <c r="L53" s="147" t="s">
        <v>175</v>
      </c>
      <c r="M53" s="147" t="s">
        <v>176</v>
      </c>
      <c r="N53" s="147" t="s">
        <v>175</v>
      </c>
      <c r="O53" s="147" t="s">
        <v>176</v>
      </c>
      <c r="R53" s="470"/>
      <c r="S53" s="471"/>
      <c r="T53" s="147" t="s">
        <v>175</v>
      </c>
      <c r="U53" s="147" t="s">
        <v>176</v>
      </c>
      <c r="V53" s="147" t="s">
        <v>175</v>
      </c>
      <c r="W53" s="147" t="s">
        <v>176</v>
      </c>
      <c r="Z53" s="470"/>
      <c r="AA53" s="471"/>
      <c r="AB53" s="147" t="s">
        <v>175</v>
      </c>
      <c r="AC53" s="147" t="s">
        <v>176</v>
      </c>
      <c r="AD53" s="147" t="s">
        <v>175</v>
      </c>
      <c r="AE53" s="147" t="s">
        <v>176</v>
      </c>
      <c r="AH53" s="470"/>
      <c r="AI53" s="471"/>
      <c r="AJ53" s="147" t="s">
        <v>175</v>
      </c>
      <c r="AK53" s="147" t="s">
        <v>176</v>
      </c>
      <c r="AL53" s="147" t="s">
        <v>175</v>
      </c>
      <c r="AM53" s="147" t="s">
        <v>176</v>
      </c>
    </row>
    <row r="54" spans="1:40" ht="18.95" customHeight="1" x14ac:dyDescent="0.25">
      <c r="B54" s="455" t="s">
        <v>195</v>
      </c>
      <c r="C54" s="456"/>
      <c r="D54" s="106">
        <f>31*E55/30</f>
        <v>31</v>
      </c>
      <c r="E54" s="106">
        <f>30*E55/30</f>
        <v>30</v>
      </c>
      <c r="F54" s="106">
        <f>D54*100</f>
        <v>3100</v>
      </c>
      <c r="G54" s="106">
        <f>E54*100</f>
        <v>3000</v>
      </c>
      <c r="J54" s="455" t="s">
        <v>206</v>
      </c>
      <c r="K54" s="456"/>
      <c r="L54" s="106">
        <f>N54*салаты!B17/O56</f>
        <v>71.28</v>
      </c>
      <c r="M54" s="106">
        <f>O54*салаты!B17/O56</f>
        <v>57</v>
      </c>
      <c r="N54" s="106">
        <v>1188</v>
      </c>
      <c r="O54" s="106">
        <v>950</v>
      </c>
      <c r="R54" s="455" t="s">
        <v>210</v>
      </c>
      <c r="S54" s="456"/>
      <c r="T54" s="106">
        <f>V54*салаты!B19/W58</f>
        <v>60.78</v>
      </c>
      <c r="U54" s="106">
        <f>W54*салаты!B19/W58</f>
        <v>48.6</v>
      </c>
      <c r="V54" s="106">
        <v>1013</v>
      </c>
      <c r="W54" s="106">
        <v>810</v>
      </c>
      <c r="Z54" s="455" t="s">
        <v>242</v>
      </c>
      <c r="AA54" s="456"/>
      <c r="AB54" s="106">
        <f>AD54*салаты!B21/AE58</f>
        <v>50.82</v>
      </c>
      <c r="AC54" s="106">
        <f>AE54*салаты!B21/AE58</f>
        <v>43.2</v>
      </c>
      <c r="AD54" s="106">
        <v>847</v>
      </c>
      <c r="AE54" s="106">
        <v>720</v>
      </c>
      <c r="AH54" s="455" t="s">
        <v>242</v>
      </c>
      <c r="AI54" s="456"/>
      <c r="AJ54" s="106">
        <f>AL54*салаты!B23/AM59</f>
        <v>33.9</v>
      </c>
      <c r="AK54" s="106">
        <f>AM54*салаты!B23/AM59</f>
        <v>28.8</v>
      </c>
      <c r="AL54" s="106">
        <v>565</v>
      </c>
      <c r="AM54" s="106">
        <v>480</v>
      </c>
    </row>
    <row r="55" spans="1:40" ht="18.95" customHeight="1" x14ac:dyDescent="0.25">
      <c r="B55" s="457" t="s">
        <v>180</v>
      </c>
      <c r="C55" s="458"/>
      <c r="D55" s="118"/>
      <c r="E55" s="106">
        <f>салаты!B15</f>
        <v>30</v>
      </c>
      <c r="F55" s="106"/>
      <c r="G55" s="106">
        <f>E55*100</f>
        <v>3000</v>
      </c>
      <c r="J55" s="455" t="s">
        <v>207</v>
      </c>
      <c r="K55" s="456"/>
      <c r="L55" s="106">
        <f>N55*салаты!B17/O56</f>
        <v>3.6</v>
      </c>
      <c r="M55" s="106">
        <f>O55*салаты!B17/O56</f>
        <v>3.6</v>
      </c>
      <c r="N55" s="106">
        <v>60</v>
      </c>
      <c r="O55" s="106">
        <v>60</v>
      </c>
      <c r="R55" s="117" t="s">
        <v>211</v>
      </c>
      <c r="S55" s="117"/>
      <c r="T55" s="106">
        <f>V55*салаты!B9/W58</f>
        <v>8.9499999999999993</v>
      </c>
      <c r="U55" s="106">
        <f>W55*салаты!B19/W58</f>
        <v>9</v>
      </c>
      <c r="V55" s="106">
        <v>179</v>
      </c>
      <c r="W55" s="106">
        <v>150</v>
      </c>
      <c r="Z55" s="455" t="s">
        <v>243</v>
      </c>
      <c r="AA55" s="456"/>
      <c r="AB55" s="106">
        <f>AD55*салаты!B21/AE58</f>
        <v>17.28</v>
      </c>
      <c r="AC55" s="106">
        <f>AE55*салаты!B21/AE58</f>
        <v>13.8</v>
      </c>
      <c r="AD55" s="106">
        <v>288</v>
      </c>
      <c r="AE55" s="106">
        <v>230</v>
      </c>
      <c r="AH55" s="455" t="s">
        <v>206</v>
      </c>
      <c r="AI55" s="456"/>
      <c r="AJ55" s="106">
        <f>AL55*салаты!B23/AM59</f>
        <v>26.28</v>
      </c>
      <c r="AK55" s="106">
        <f>AM55*салаты!B23/AM59</f>
        <v>21</v>
      </c>
      <c r="AL55" s="106">
        <v>438</v>
      </c>
      <c r="AM55" s="106">
        <v>350</v>
      </c>
    </row>
    <row r="56" spans="1:40" ht="18.95" customHeight="1" x14ac:dyDescent="0.25">
      <c r="J56" s="457" t="s">
        <v>180</v>
      </c>
      <c r="K56" s="458"/>
      <c r="L56" s="118"/>
      <c r="M56" s="106">
        <f>O56*салаты!B17/O56</f>
        <v>60</v>
      </c>
      <c r="N56" s="106"/>
      <c r="O56" s="106">
        <v>1000</v>
      </c>
      <c r="R56" s="455" t="s">
        <v>212</v>
      </c>
      <c r="S56" s="456"/>
      <c r="T56" s="106">
        <f>V56*салаты!B19/W58</f>
        <v>11.28</v>
      </c>
      <c r="U56" s="106">
        <f>W56*салаты!B19/W58</f>
        <v>9</v>
      </c>
      <c r="V56" s="106">
        <v>188</v>
      </c>
      <c r="W56" s="106">
        <v>150</v>
      </c>
      <c r="Z56" s="455" t="s">
        <v>244</v>
      </c>
      <c r="AA56" s="456"/>
      <c r="AB56" s="106">
        <f>AD56*салаты!B21/AE58</f>
        <v>16.440000000000001</v>
      </c>
      <c r="AC56" s="106">
        <f>AE56*салаты!B21/AE58</f>
        <v>13.8</v>
      </c>
      <c r="AD56" s="106">
        <v>274</v>
      </c>
      <c r="AE56" s="106">
        <v>230</v>
      </c>
      <c r="AH56" s="455" t="s">
        <v>243</v>
      </c>
      <c r="AI56" s="456"/>
      <c r="AJ56" s="106">
        <f>AL56*салаты!B23/AM59</f>
        <v>9</v>
      </c>
      <c r="AK56" s="106">
        <f>AM56*салаты!B23/AM59</f>
        <v>9</v>
      </c>
      <c r="AL56" s="106">
        <v>150</v>
      </c>
      <c r="AM56" s="106">
        <v>150</v>
      </c>
    </row>
    <row r="57" spans="1:40" ht="18.95" customHeight="1" x14ac:dyDescent="0.25">
      <c r="A57" s="459" t="s">
        <v>181</v>
      </c>
      <c r="B57" s="459"/>
      <c r="C57" s="459"/>
      <c r="D57" s="459"/>
      <c r="E57" s="459"/>
      <c r="F57" s="459"/>
      <c r="G57" s="459"/>
      <c r="H57" s="459"/>
      <c r="R57" s="145" t="s">
        <v>207</v>
      </c>
      <c r="S57" s="146"/>
      <c r="T57" s="106">
        <f>V57*салаты!B19/W58</f>
        <v>3</v>
      </c>
      <c r="U57" s="106">
        <f>W57*салаты!B19/W58</f>
        <v>3</v>
      </c>
      <c r="V57" s="106">
        <v>50</v>
      </c>
      <c r="W57" s="106">
        <v>50</v>
      </c>
      <c r="Z57" s="455" t="s">
        <v>207</v>
      </c>
      <c r="AA57" s="456"/>
      <c r="AB57" s="106">
        <f>AD57*салаты!B21/AE58</f>
        <v>3.6</v>
      </c>
      <c r="AC57" s="106">
        <f>AE57*салаты!B21/AE58</f>
        <v>3.6</v>
      </c>
      <c r="AD57" s="106">
        <v>60</v>
      </c>
      <c r="AE57" s="106">
        <v>60</v>
      </c>
      <c r="AH57" s="455" t="s">
        <v>244</v>
      </c>
      <c r="AI57" s="456"/>
      <c r="AJ57" s="106">
        <f>AL57*салаты!B23/AM59</f>
        <v>8.58</v>
      </c>
      <c r="AK57" s="106">
        <f>AM57*салаты!B23/AM59</f>
        <v>7.2</v>
      </c>
      <c r="AL57" s="106">
        <v>143</v>
      </c>
      <c r="AM57" s="106">
        <v>120</v>
      </c>
    </row>
    <row r="58" spans="1:40" ht="18.95" customHeight="1" x14ac:dyDescent="0.25">
      <c r="A58" s="147" t="s">
        <v>182</v>
      </c>
      <c r="B58" s="147" t="s">
        <v>106</v>
      </c>
      <c r="C58" s="115" t="s">
        <v>107</v>
      </c>
      <c r="D58" s="116" t="s">
        <v>187</v>
      </c>
      <c r="E58" s="147" t="s">
        <v>183</v>
      </c>
      <c r="F58" s="147" t="s">
        <v>184</v>
      </c>
      <c r="G58" s="147" t="s">
        <v>185</v>
      </c>
      <c r="H58" s="185" t="s">
        <v>186</v>
      </c>
      <c r="I58" s="459" t="s">
        <v>181</v>
      </c>
      <c r="J58" s="459"/>
      <c r="K58" s="459"/>
      <c r="L58" s="459"/>
      <c r="M58" s="459"/>
      <c r="N58" s="459"/>
      <c r="O58" s="459"/>
      <c r="P58" s="459"/>
      <c r="R58" s="457" t="s">
        <v>180</v>
      </c>
      <c r="S58" s="458"/>
      <c r="T58" s="118"/>
      <c r="U58" s="106">
        <f>W58*салаты!B19/W58</f>
        <v>60</v>
      </c>
      <c r="V58" s="118"/>
      <c r="W58" s="106">
        <v>1000</v>
      </c>
      <c r="Z58" s="457" t="s">
        <v>180</v>
      </c>
      <c r="AA58" s="458"/>
      <c r="AB58" s="118"/>
      <c r="AC58" s="106">
        <f>AE58*салаты!B21/AE58</f>
        <v>60</v>
      </c>
      <c r="AD58" s="106"/>
      <c r="AE58" s="106">
        <v>1000</v>
      </c>
      <c r="AH58" s="455" t="s">
        <v>207</v>
      </c>
      <c r="AI58" s="456"/>
      <c r="AJ58" s="106">
        <f>AL58*салаты!B23/AM59</f>
        <v>3.6</v>
      </c>
      <c r="AK58" s="106">
        <f>AM58*салаты!B23/AM59</f>
        <v>3.6</v>
      </c>
      <c r="AL58" s="106">
        <v>60</v>
      </c>
      <c r="AM58" s="106">
        <v>60</v>
      </c>
    </row>
    <row r="59" spans="1:40" ht="18.95" customHeight="1" x14ac:dyDescent="0.25">
      <c r="A59" s="41">
        <f>салаты!E15</f>
        <v>6.78</v>
      </c>
      <c r="B59" s="41">
        <f>салаты!F15</f>
        <v>6.27</v>
      </c>
      <c r="C59" s="41">
        <f>салаты!G15</f>
        <v>0</v>
      </c>
      <c r="D59" s="41">
        <f>салаты!H15</f>
        <v>84</v>
      </c>
      <c r="E59" s="41">
        <f>салаты!M15</f>
        <v>3.6</v>
      </c>
      <c r="F59" s="41">
        <f>салаты!O15</f>
        <v>10.5</v>
      </c>
      <c r="G59" s="41">
        <f>салаты!P15</f>
        <v>0</v>
      </c>
      <c r="H59" s="41">
        <f>салаты!J15</f>
        <v>0</v>
      </c>
      <c r="I59" s="147" t="s">
        <v>182</v>
      </c>
      <c r="J59" s="147" t="s">
        <v>106</v>
      </c>
      <c r="K59" s="115" t="s">
        <v>107</v>
      </c>
      <c r="L59" s="116" t="s">
        <v>187</v>
      </c>
      <c r="M59" s="147" t="s">
        <v>183</v>
      </c>
      <c r="N59" s="147" t="s">
        <v>184</v>
      </c>
      <c r="O59" s="147" t="s">
        <v>185</v>
      </c>
      <c r="P59" s="147" t="s">
        <v>186</v>
      </c>
      <c r="AH59" s="457" t="s">
        <v>180</v>
      </c>
      <c r="AI59" s="458"/>
      <c r="AJ59" s="118"/>
      <c r="AK59" s="106">
        <f>AM59*салаты!B23/AM59</f>
        <v>60</v>
      </c>
      <c r="AL59" s="106"/>
      <c r="AM59" s="106">
        <v>1000</v>
      </c>
    </row>
    <row r="60" spans="1:40" ht="18.95" customHeight="1" x14ac:dyDescent="0.25">
      <c r="I60" s="41">
        <f>салаты!E17</f>
        <v>0.45059999999999995</v>
      </c>
      <c r="J60" s="41">
        <f>салаты!F17</f>
        <v>3.6102000000000003</v>
      </c>
      <c r="K60" s="41">
        <f>салаты!G17</f>
        <v>1.4081999999999999</v>
      </c>
      <c r="L60" s="41">
        <f>салаты!H17</f>
        <v>39.96</v>
      </c>
      <c r="M60" s="41">
        <f>салаты!M17</f>
        <v>13.3932</v>
      </c>
      <c r="N60" s="41">
        <f>салаты!O17</f>
        <v>7.9116</v>
      </c>
      <c r="O60" s="41">
        <f>салаты!P17</f>
        <v>0.34379999999999999</v>
      </c>
      <c r="P60" s="41">
        <f>салаты!J17</f>
        <v>2.9963999999999995</v>
      </c>
      <c r="Q60" s="459" t="s">
        <v>181</v>
      </c>
      <c r="R60" s="459"/>
      <c r="S60" s="459"/>
      <c r="T60" s="459"/>
      <c r="U60" s="459"/>
      <c r="V60" s="459"/>
      <c r="W60" s="459"/>
      <c r="X60" s="459"/>
      <c r="Y60" s="459" t="s">
        <v>181</v>
      </c>
      <c r="Z60" s="459"/>
      <c r="AA60" s="459"/>
      <c r="AB60" s="459"/>
      <c r="AC60" s="459"/>
      <c r="AD60" s="459"/>
      <c r="AE60" s="459"/>
      <c r="AF60" s="459"/>
    </row>
    <row r="61" spans="1:40" ht="18.95" customHeight="1" x14ac:dyDescent="0.25">
      <c r="A61" s="462" t="s">
        <v>204</v>
      </c>
      <c r="B61" s="462"/>
      <c r="C61" s="462"/>
      <c r="D61" s="462"/>
      <c r="E61" s="462"/>
      <c r="F61" s="462"/>
      <c r="G61" s="462"/>
      <c r="H61" s="462"/>
      <c r="Q61" s="147" t="s">
        <v>182</v>
      </c>
      <c r="R61" s="147" t="s">
        <v>106</v>
      </c>
      <c r="S61" s="115" t="s">
        <v>107</v>
      </c>
      <c r="T61" s="116" t="s">
        <v>187</v>
      </c>
      <c r="U61" s="147" t="s">
        <v>183</v>
      </c>
      <c r="V61" s="147" t="s">
        <v>184</v>
      </c>
      <c r="W61" s="147" t="s">
        <v>185</v>
      </c>
      <c r="X61" s="147" t="s">
        <v>186</v>
      </c>
      <c r="Y61" s="147" t="s">
        <v>182</v>
      </c>
      <c r="Z61" s="147" t="s">
        <v>106</v>
      </c>
      <c r="AA61" s="115" t="s">
        <v>107</v>
      </c>
      <c r="AB61" s="116" t="s">
        <v>187</v>
      </c>
      <c r="AC61" s="147" t="s">
        <v>183</v>
      </c>
      <c r="AD61" s="147" t="s">
        <v>184</v>
      </c>
      <c r="AE61" s="147" t="s">
        <v>185</v>
      </c>
      <c r="AF61" s="185" t="s">
        <v>186</v>
      </c>
      <c r="AG61" s="459" t="s">
        <v>181</v>
      </c>
      <c r="AH61" s="459"/>
      <c r="AI61" s="459"/>
      <c r="AJ61" s="459"/>
      <c r="AK61" s="459"/>
      <c r="AL61" s="459"/>
      <c r="AM61" s="459"/>
      <c r="AN61" s="459"/>
    </row>
    <row r="62" spans="1:40" ht="18.95" customHeight="1" x14ac:dyDescent="0.25">
      <c r="A62" s="462"/>
      <c r="B62" s="462"/>
      <c r="C62" s="462"/>
      <c r="D62" s="462"/>
      <c r="E62" s="462"/>
      <c r="F62" s="462"/>
      <c r="G62" s="462"/>
      <c r="H62" s="462"/>
      <c r="I62" s="462" t="s">
        <v>208</v>
      </c>
      <c r="J62" s="462"/>
      <c r="K62" s="462"/>
      <c r="L62" s="462"/>
      <c r="M62" s="462"/>
      <c r="N62" s="462"/>
      <c r="O62" s="462"/>
      <c r="P62" s="462"/>
      <c r="Q62" s="41">
        <f>салаты!E19</f>
        <v>0.49980000000000002</v>
      </c>
      <c r="R62" s="41">
        <f>салаты!F19</f>
        <v>3.0186000000000002</v>
      </c>
      <c r="S62" s="41">
        <f>салаты!G19</f>
        <v>1.101</v>
      </c>
      <c r="T62" s="41">
        <f>салаты!H19</f>
        <v>33.6</v>
      </c>
      <c r="U62" s="41">
        <f>салаты!M19</f>
        <v>20.376000000000001</v>
      </c>
      <c r="V62" s="41">
        <f>салаты!O19</f>
        <v>8.3520000000000003</v>
      </c>
      <c r="W62" s="41">
        <f>салаты!P19</f>
        <v>0.38280000000000003</v>
      </c>
      <c r="X62" s="41">
        <f>салаты!J19</f>
        <v>4.2468000000000004</v>
      </c>
      <c r="Y62" s="41">
        <f>салаты!E21</f>
        <v>0.66060000000000008</v>
      </c>
      <c r="Z62" s="41">
        <f>салаты!F21</f>
        <v>3.6665999999999999</v>
      </c>
      <c r="AA62" s="41">
        <f>салаты!G21</f>
        <v>2.7402000000000002</v>
      </c>
      <c r="AB62" s="41">
        <f>салаты!H21</f>
        <v>46.62</v>
      </c>
      <c r="AC62" s="41">
        <f>салаты!M21</f>
        <v>10.642200000000001</v>
      </c>
      <c r="AD62" s="41">
        <f>салаты!O21</f>
        <v>10.473000000000001</v>
      </c>
      <c r="AE62" s="41">
        <f>салаты!P21</f>
        <v>0.49920000000000003</v>
      </c>
      <c r="AF62" s="41">
        <f>салаты!J21</f>
        <v>10.831799999999999</v>
      </c>
      <c r="AG62" s="147" t="s">
        <v>182</v>
      </c>
      <c r="AH62" s="147" t="s">
        <v>106</v>
      </c>
      <c r="AI62" s="115" t="s">
        <v>107</v>
      </c>
      <c r="AJ62" s="116" t="s">
        <v>187</v>
      </c>
      <c r="AK62" s="147" t="s">
        <v>183</v>
      </c>
      <c r="AL62" s="147" t="s">
        <v>184</v>
      </c>
      <c r="AM62" s="147" t="s">
        <v>185</v>
      </c>
      <c r="AN62" s="147" t="s">
        <v>186</v>
      </c>
    </row>
    <row r="63" spans="1:40" ht="18.95" customHeight="1" x14ac:dyDescent="0.25">
      <c r="I63" s="462"/>
      <c r="J63" s="462"/>
      <c r="K63" s="462"/>
      <c r="L63" s="462"/>
      <c r="M63" s="462"/>
      <c r="N63" s="462"/>
      <c r="O63" s="462"/>
      <c r="P63" s="462"/>
      <c r="AG63" s="41">
        <f>салаты!E23</f>
        <v>0.57840000000000014</v>
      </c>
      <c r="AH63" s="41">
        <f>салаты!F23</f>
        <v>3.6456</v>
      </c>
      <c r="AI63" s="41">
        <f>салаты!G23</f>
        <v>2.1875999999999998</v>
      </c>
      <c r="AJ63" s="41">
        <f>салаты!H23</f>
        <v>42.42</v>
      </c>
      <c r="AK63" s="41">
        <f>салаты!M23</f>
        <v>11.401200000000001</v>
      </c>
      <c r="AL63" s="41">
        <f>салаты!O23</f>
        <v>9.6251999999999995</v>
      </c>
      <c r="AM63" s="41">
        <f>салаты!P23</f>
        <v>0.44339999999999996</v>
      </c>
      <c r="AN63" s="41">
        <f>салаты!J23</f>
        <v>4.9506000000000006</v>
      </c>
    </row>
    <row r="64" spans="1:40" ht="18.95" customHeight="1" x14ac:dyDescent="0.25">
      <c r="A64" s="454" t="s">
        <v>232</v>
      </c>
      <c r="B64" s="454"/>
      <c r="C64" s="454"/>
      <c r="I64" s="462"/>
      <c r="J64" s="462"/>
      <c r="K64" s="462"/>
      <c r="L64" s="462"/>
      <c r="M64" s="462"/>
      <c r="N64" s="462"/>
      <c r="O64" s="462"/>
      <c r="P64" s="462"/>
      <c r="Q64" s="462" t="s">
        <v>213</v>
      </c>
      <c r="R64" s="462"/>
      <c r="S64" s="462"/>
      <c r="T64" s="462"/>
      <c r="U64" s="462"/>
      <c r="V64" s="462"/>
      <c r="W64" s="462"/>
      <c r="X64" s="462"/>
      <c r="Y64" s="462" t="s">
        <v>268</v>
      </c>
      <c r="Z64" s="462"/>
      <c r="AA64" s="462"/>
      <c r="AB64" s="462"/>
      <c r="AC64" s="462"/>
      <c r="AD64" s="462"/>
      <c r="AE64" s="462"/>
      <c r="AF64" s="462"/>
    </row>
    <row r="65" spans="9:40" ht="18.95" customHeight="1" x14ac:dyDescent="0.25">
      <c r="Q65" s="462"/>
      <c r="R65" s="462"/>
      <c r="S65" s="462"/>
      <c r="T65" s="462"/>
      <c r="U65" s="462"/>
      <c r="V65" s="462"/>
      <c r="W65" s="462"/>
      <c r="X65" s="462"/>
      <c r="Y65" s="462"/>
      <c r="Z65" s="462"/>
      <c r="AA65" s="462"/>
      <c r="AB65" s="462"/>
      <c r="AC65" s="462"/>
      <c r="AD65" s="462"/>
      <c r="AE65" s="462"/>
      <c r="AF65" s="462"/>
      <c r="AG65" s="462" t="s">
        <v>245</v>
      </c>
      <c r="AH65" s="462"/>
      <c r="AI65" s="462"/>
      <c r="AJ65" s="462"/>
      <c r="AK65" s="462"/>
      <c r="AL65" s="462"/>
      <c r="AM65" s="462"/>
      <c r="AN65" s="462"/>
    </row>
    <row r="66" spans="9:40" ht="18.95" customHeight="1" x14ac:dyDescent="0.25">
      <c r="I66" s="454" t="s">
        <v>232</v>
      </c>
      <c r="J66" s="454"/>
      <c r="K66" s="454"/>
      <c r="Y66" s="462"/>
      <c r="Z66" s="462"/>
      <c r="AA66" s="462"/>
      <c r="AB66" s="462"/>
      <c r="AC66" s="462"/>
      <c r="AD66" s="462"/>
      <c r="AE66" s="462"/>
      <c r="AF66" s="462"/>
      <c r="AG66" s="462"/>
      <c r="AH66" s="462"/>
      <c r="AI66" s="462"/>
      <c r="AJ66" s="462"/>
      <c r="AK66" s="462"/>
      <c r="AL66" s="462"/>
      <c r="AM66" s="462"/>
      <c r="AN66" s="462"/>
    </row>
    <row r="67" spans="9:40" ht="18.95" customHeight="1" x14ac:dyDescent="0.25">
      <c r="Q67" s="454" t="s">
        <v>232</v>
      </c>
      <c r="R67" s="454"/>
      <c r="S67" s="454"/>
      <c r="AG67" s="119"/>
      <c r="AH67" s="119"/>
      <c r="AI67" s="119"/>
      <c r="AJ67" s="119"/>
      <c r="AK67" s="119"/>
      <c r="AL67" s="119"/>
      <c r="AM67" s="119"/>
      <c r="AN67" s="119"/>
    </row>
    <row r="68" spans="9:40" ht="18.95" customHeight="1" x14ac:dyDescent="0.25">
      <c r="Y68" s="454" t="s">
        <v>232</v>
      </c>
      <c r="Z68" s="454"/>
      <c r="AA68" s="454"/>
      <c r="AG68" s="454" t="s">
        <v>232</v>
      </c>
      <c r="AH68" s="454"/>
      <c r="AI68" s="454"/>
    </row>
    <row r="69" spans="9:40" ht="18.95" customHeight="1" x14ac:dyDescent="0.25"/>
    <row r="70" spans="9:40" ht="18.95" customHeight="1" x14ac:dyDescent="0.25"/>
    <row r="71" spans="9:40" ht="18.95" customHeight="1" x14ac:dyDescent="0.25"/>
    <row r="72" spans="9:40" ht="18.95" customHeight="1" x14ac:dyDescent="0.25"/>
    <row r="73" spans="9:40" ht="18.95" customHeight="1" x14ac:dyDescent="0.25"/>
    <row r="74" spans="9:40" ht="18.95" customHeight="1" x14ac:dyDescent="0.25"/>
    <row r="75" spans="9:40" ht="18.95" customHeight="1" x14ac:dyDescent="0.25"/>
    <row r="76" spans="9:40" ht="18.95" customHeight="1" x14ac:dyDescent="0.25"/>
    <row r="77" spans="9:40" ht="18.95" customHeight="1" x14ac:dyDescent="0.25"/>
    <row r="78" spans="9:40" ht="18.95" customHeight="1" x14ac:dyDescent="0.25"/>
    <row r="79" spans="9:40" ht="18.95" customHeight="1" x14ac:dyDescent="0.25"/>
    <row r="80" spans="9:40" ht="18.95" customHeight="1" x14ac:dyDescent="0.25"/>
    <row r="81" spans="1:40" ht="18.95" customHeight="1" x14ac:dyDescent="0.25"/>
    <row r="82" spans="1:40" ht="18.95" customHeight="1" x14ac:dyDescent="0.25"/>
    <row r="83" spans="1:40" s="167" customFormat="1" x14ac:dyDescent="0.25">
      <c r="A83" s="472" t="s">
        <v>214</v>
      </c>
      <c r="B83" s="472"/>
      <c r="F83" s="472" t="s">
        <v>215</v>
      </c>
      <c r="G83" s="472"/>
      <c r="H83" s="472"/>
      <c r="I83" s="472" t="s">
        <v>214</v>
      </c>
      <c r="J83" s="472"/>
      <c r="N83" s="472" t="s">
        <v>215</v>
      </c>
      <c r="O83" s="472"/>
      <c r="P83" s="472"/>
      <c r="Q83" s="472" t="s">
        <v>214</v>
      </c>
      <c r="R83" s="472"/>
      <c r="V83" s="472" t="s">
        <v>215</v>
      </c>
      <c r="W83" s="472"/>
      <c r="X83" s="472"/>
      <c r="Y83" s="472" t="s">
        <v>214</v>
      </c>
      <c r="Z83" s="472"/>
      <c r="AD83" s="472" t="s">
        <v>215</v>
      </c>
      <c r="AE83" s="472"/>
      <c r="AF83" s="472"/>
      <c r="AG83" s="472" t="s">
        <v>214</v>
      </c>
      <c r="AH83" s="472"/>
      <c r="AL83" s="472" t="s">
        <v>215</v>
      </c>
      <c r="AM83" s="472"/>
      <c r="AN83" s="472"/>
    </row>
    <row r="84" spans="1:40" x14ac:dyDescent="0.25">
      <c r="E84" s="454" t="s">
        <v>216</v>
      </c>
      <c r="F84" s="454"/>
      <c r="G84" s="454"/>
      <c r="H84" s="454"/>
      <c r="M84" s="454" t="s">
        <v>216</v>
      </c>
      <c r="N84" s="454"/>
      <c r="O84" s="454"/>
      <c r="P84" s="454"/>
      <c r="U84" s="454" t="s">
        <v>216</v>
      </c>
      <c r="V84" s="454"/>
      <c r="W84" s="454"/>
      <c r="X84" s="454"/>
      <c r="AC84" s="454" t="s">
        <v>216</v>
      </c>
      <c r="AD84" s="454"/>
      <c r="AE84" s="454"/>
      <c r="AF84" s="454"/>
      <c r="AK84" s="454" t="s">
        <v>216</v>
      </c>
      <c r="AL84" s="454"/>
      <c r="AM84" s="454"/>
      <c r="AN84" s="454"/>
    </row>
    <row r="85" spans="1:40" x14ac:dyDescent="0.25">
      <c r="E85" s="150"/>
      <c r="F85" s="150"/>
      <c r="G85" s="150"/>
      <c r="H85" s="150"/>
      <c r="M85" s="150"/>
      <c r="N85" s="150"/>
      <c r="O85" s="150"/>
      <c r="P85" s="150"/>
      <c r="U85" s="150"/>
      <c r="V85" s="150"/>
      <c r="W85" s="150"/>
      <c r="X85" s="150"/>
      <c r="AC85" s="150"/>
      <c r="AD85" s="150"/>
      <c r="AE85" s="150"/>
      <c r="AF85" s="150"/>
      <c r="AK85" s="150"/>
      <c r="AL85" s="150"/>
      <c r="AM85" s="150"/>
      <c r="AN85" s="150"/>
    </row>
    <row r="86" spans="1:40" ht="18.95" customHeight="1" x14ac:dyDescent="0.25">
      <c r="A86" s="414" t="s">
        <v>235</v>
      </c>
      <c r="B86" s="414"/>
      <c r="C86" s="414"/>
      <c r="D86" s="414"/>
      <c r="E86" s="414"/>
      <c r="F86" s="414"/>
      <c r="G86" s="414"/>
      <c r="H86" s="414"/>
      <c r="I86" s="414" t="s">
        <v>236</v>
      </c>
      <c r="J86" s="414"/>
      <c r="K86" s="414"/>
      <c r="L86" s="414"/>
      <c r="M86" s="414"/>
      <c r="N86" s="414"/>
      <c r="O86" s="414"/>
      <c r="P86" s="414"/>
      <c r="Q86" s="414" t="s">
        <v>255</v>
      </c>
      <c r="R86" s="414"/>
      <c r="S86" s="414"/>
      <c r="T86" s="414"/>
      <c r="U86" s="414"/>
      <c r="V86" s="414"/>
      <c r="W86" s="414"/>
      <c r="X86" s="414"/>
      <c r="Y86" s="414" t="s">
        <v>256</v>
      </c>
      <c r="Z86" s="414"/>
      <c r="AA86" s="414"/>
      <c r="AB86" s="414"/>
      <c r="AC86" s="414"/>
      <c r="AD86" s="414"/>
      <c r="AE86" s="414"/>
      <c r="AF86" s="414"/>
      <c r="AG86" s="414" t="s">
        <v>257</v>
      </c>
      <c r="AH86" s="414"/>
      <c r="AI86" s="414"/>
      <c r="AJ86" s="414"/>
      <c r="AK86" s="414"/>
      <c r="AL86" s="414"/>
      <c r="AM86" s="414"/>
      <c r="AN86" s="414"/>
    </row>
    <row r="87" spans="1:40" ht="18.95" customHeight="1" x14ac:dyDescent="0.25">
      <c r="A87" s="473" t="s">
        <v>240</v>
      </c>
      <c r="B87" s="465"/>
      <c r="C87" s="465"/>
      <c r="D87" s="465"/>
      <c r="E87" s="465"/>
      <c r="F87" s="465"/>
      <c r="G87" s="465"/>
      <c r="H87" s="465"/>
      <c r="I87" s="473" t="s">
        <v>252</v>
      </c>
      <c r="J87" s="465"/>
      <c r="K87" s="465"/>
      <c r="L87" s="465"/>
      <c r="M87" s="465"/>
      <c r="N87" s="465"/>
      <c r="O87" s="465"/>
      <c r="P87" s="465"/>
      <c r="Q87" s="473" t="s">
        <v>260</v>
      </c>
      <c r="R87" s="465"/>
      <c r="S87" s="465"/>
      <c r="T87" s="465"/>
      <c r="U87" s="465"/>
      <c r="V87" s="465"/>
      <c r="W87" s="465"/>
      <c r="X87" s="465"/>
      <c r="Y87" s="473" t="s">
        <v>267</v>
      </c>
      <c r="Z87" s="465"/>
      <c r="AA87" s="465"/>
      <c r="AB87" s="465"/>
      <c r="AC87" s="465"/>
      <c r="AD87" s="465"/>
      <c r="AE87" s="465"/>
      <c r="AF87" s="465"/>
      <c r="AG87" s="473" t="s">
        <v>272</v>
      </c>
      <c r="AH87" s="465"/>
      <c r="AI87" s="465"/>
      <c r="AJ87" s="465"/>
      <c r="AK87" s="465"/>
      <c r="AL87" s="465"/>
      <c r="AM87" s="465"/>
      <c r="AN87" s="465"/>
    </row>
    <row r="88" spans="1:40" ht="18.95" customHeight="1" x14ac:dyDescent="0.25">
      <c r="A88" s="473" t="s">
        <v>239</v>
      </c>
      <c r="B88" s="473"/>
      <c r="C88" s="473"/>
      <c r="D88" s="473"/>
      <c r="E88" s="473"/>
      <c r="F88" s="473"/>
      <c r="G88" s="473"/>
      <c r="H88" s="473"/>
      <c r="I88" s="473" t="s">
        <v>241</v>
      </c>
      <c r="J88" s="473"/>
      <c r="K88" s="473"/>
      <c r="L88" s="473"/>
      <c r="M88" s="473"/>
      <c r="N88" s="473"/>
      <c r="O88" s="473"/>
      <c r="P88" s="473"/>
      <c r="Q88" s="473" t="s">
        <v>259</v>
      </c>
      <c r="R88" s="473"/>
      <c r="S88" s="473"/>
      <c r="T88" s="473"/>
      <c r="U88" s="473"/>
      <c r="V88" s="473"/>
      <c r="W88" s="473"/>
      <c r="X88" s="473"/>
      <c r="Y88" s="473" t="s">
        <v>266</v>
      </c>
      <c r="Z88" s="473"/>
      <c r="AA88" s="473"/>
      <c r="AB88" s="473"/>
      <c r="AC88" s="473"/>
      <c r="AD88" s="473"/>
      <c r="AE88" s="473"/>
      <c r="AF88" s="473"/>
      <c r="AG88" s="473" t="s">
        <v>271</v>
      </c>
      <c r="AH88" s="473"/>
      <c r="AI88" s="473"/>
      <c r="AJ88" s="473"/>
      <c r="AK88" s="473"/>
      <c r="AL88" s="473"/>
      <c r="AM88" s="473"/>
      <c r="AN88" s="473"/>
    </row>
    <row r="89" spans="1:40" ht="18.95" customHeight="1" x14ac:dyDescent="0.25">
      <c r="A89" s="465" t="s">
        <v>189</v>
      </c>
      <c r="B89" s="465"/>
      <c r="C89" s="465"/>
      <c r="D89" s="465"/>
      <c r="E89" s="465"/>
      <c r="F89" s="465"/>
      <c r="G89" s="465"/>
      <c r="H89" s="465"/>
      <c r="I89" s="465" t="s">
        <v>189</v>
      </c>
      <c r="J89" s="465"/>
      <c r="K89" s="465"/>
      <c r="L89" s="465"/>
      <c r="M89" s="465"/>
      <c r="N89" s="465"/>
      <c r="O89" s="465"/>
      <c r="P89" s="465"/>
      <c r="Q89" s="465" t="s">
        <v>189</v>
      </c>
      <c r="R89" s="465"/>
      <c r="S89" s="465"/>
      <c r="T89" s="465"/>
      <c r="U89" s="465"/>
      <c r="V89" s="465"/>
      <c r="W89" s="465"/>
      <c r="X89" s="465"/>
      <c r="Y89" s="465" t="s">
        <v>189</v>
      </c>
      <c r="Z89" s="465"/>
      <c r="AA89" s="465"/>
      <c r="AB89" s="465"/>
      <c r="AC89" s="465"/>
      <c r="AD89" s="465"/>
      <c r="AE89" s="465"/>
      <c r="AF89" s="465"/>
      <c r="AG89" s="465" t="s">
        <v>189</v>
      </c>
      <c r="AH89" s="465"/>
      <c r="AI89" s="465"/>
      <c r="AJ89" s="465"/>
      <c r="AK89" s="465"/>
      <c r="AL89" s="465"/>
      <c r="AM89" s="465"/>
      <c r="AN89" s="465"/>
    </row>
    <row r="90" spans="1:40" ht="18.95" customHeight="1" x14ac:dyDescent="0.25">
      <c r="A90" s="465" t="s">
        <v>190</v>
      </c>
      <c r="B90" s="465"/>
      <c r="C90" s="465"/>
      <c r="D90" s="465"/>
      <c r="E90" s="465"/>
      <c r="F90" s="465"/>
      <c r="G90" s="465"/>
      <c r="H90" s="465"/>
      <c r="I90" s="465" t="s">
        <v>190</v>
      </c>
      <c r="J90" s="465"/>
      <c r="K90" s="465"/>
      <c r="L90" s="465"/>
      <c r="M90" s="465"/>
      <c r="N90" s="465"/>
      <c r="O90" s="465"/>
      <c r="P90" s="465"/>
      <c r="Q90" s="465" t="s">
        <v>190</v>
      </c>
      <c r="R90" s="465"/>
      <c r="S90" s="465"/>
      <c r="T90" s="465"/>
      <c r="U90" s="465"/>
      <c r="V90" s="465"/>
      <c r="W90" s="465"/>
      <c r="X90" s="465"/>
      <c r="Y90" s="465" t="s">
        <v>190</v>
      </c>
      <c r="Z90" s="465"/>
      <c r="AA90" s="465"/>
      <c r="AB90" s="465"/>
      <c r="AC90" s="465"/>
      <c r="AD90" s="465"/>
      <c r="AE90" s="465"/>
      <c r="AF90" s="465"/>
      <c r="AG90" s="465" t="s">
        <v>190</v>
      </c>
      <c r="AH90" s="465"/>
      <c r="AI90" s="465"/>
      <c r="AJ90" s="465"/>
      <c r="AK90" s="465"/>
      <c r="AL90" s="465"/>
      <c r="AM90" s="465"/>
      <c r="AN90" s="465"/>
    </row>
    <row r="91" spans="1:40" ht="18.95" customHeight="1" x14ac:dyDescent="0.25">
      <c r="C91" s="148"/>
      <c r="K91" s="148"/>
      <c r="S91" s="148"/>
      <c r="AA91" s="148"/>
      <c r="AI91" s="148"/>
    </row>
    <row r="92" spans="1:40" ht="18.95" customHeight="1" x14ac:dyDescent="0.25">
      <c r="B92" s="466" t="s">
        <v>174</v>
      </c>
      <c r="C92" s="467"/>
      <c r="D92" s="412" t="s">
        <v>179</v>
      </c>
      <c r="E92" s="412"/>
      <c r="F92" s="412"/>
      <c r="G92" s="412"/>
      <c r="J92" s="466" t="s">
        <v>174</v>
      </c>
      <c r="K92" s="467"/>
      <c r="L92" s="412" t="s">
        <v>179</v>
      </c>
      <c r="M92" s="412"/>
      <c r="N92" s="412"/>
      <c r="O92" s="412"/>
      <c r="R92" s="466" t="s">
        <v>174</v>
      </c>
      <c r="S92" s="467"/>
      <c r="T92" s="412" t="s">
        <v>179</v>
      </c>
      <c r="U92" s="412"/>
      <c r="V92" s="412"/>
      <c r="W92" s="412"/>
      <c r="Z92" s="466" t="s">
        <v>174</v>
      </c>
      <c r="AA92" s="467"/>
      <c r="AB92" s="412" t="s">
        <v>179</v>
      </c>
      <c r="AC92" s="412"/>
      <c r="AD92" s="412"/>
      <c r="AE92" s="412"/>
      <c r="AH92" s="466" t="s">
        <v>174</v>
      </c>
      <c r="AI92" s="467"/>
      <c r="AJ92" s="412" t="s">
        <v>179</v>
      </c>
      <c r="AK92" s="412"/>
      <c r="AL92" s="412"/>
      <c r="AM92" s="412"/>
    </row>
    <row r="93" spans="1:40" ht="18.95" customHeight="1" x14ac:dyDescent="0.25">
      <c r="B93" s="468"/>
      <c r="C93" s="469"/>
      <c r="D93" s="412" t="s">
        <v>177</v>
      </c>
      <c r="E93" s="412"/>
      <c r="F93" s="412" t="s">
        <v>178</v>
      </c>
      <c r="G93" s="412"/>
      <c r="J93" s="468"/>
      <c r="K93" s="469"/>
      <c r="L93" s="412" t="s">
        <v>177</v>
      </c>
      <c r="M93" s="412"/>
      <c r="N93" s="412" t="s">
        <v>178</v>
      </c>
      <c r="O93" s="412"/>
      <c r="R93" s="468"/>
      <c r="S93" s="469"/>
      <c r="T93" s="412" t="s">
        <v>177</v>
      </c>
      <c r="U93" s="412"/>
      <c r="V93" s="412" t="s">
        <v>178</v>
      </c>
      <c r="W93" s="412"/>
      <c r="Z93" s="468"/>
      <c r="AA93" s="469"/>
      <c r="AB93" s="412" t="s">
        <v>177</v>
      </c>
      <c r="AC93" s="412"/>
      <c r="AD93" s="412" t="s">
        <v>178</v>
      </c>
      <c r="AE93" s="412"/>
      <c r="AH93" s="468"/>
      <c r="AI93" s="469"/>
      <c r="AJ93" s="412" t="s">
        <v>177</v>
      </c>
      <c r="AK93" s="412"/>
      <c r="AL93" s="412" t="s">
        <v>178</v>
      </c>
      <c r="AM93" s="412"/>
    </row>
    <row r="94" spans="1:40" ht="18.95" customHeight="1" x14ac:dyDescent="0.25">
      <c r="B94" s="470"/>
      <c r="C94" s="471"/>
      <c r="D94" s="147" t="s">
        <v>175</v>
      </c>
      <c r="E94" s="147" t="s">
        <v>176</v>
      </c>
      <c r="F94" s="147" t="s">
        <v>175</v>
      </c>
      <c r="G94" s="147" t="s">
        <v>176</v>
      </c>
      <c r="J94" s="470"/>
      <c r="K94" s="471"/>
      <c r="L94" s="147" t="s">
        <v>175</v>
      </c>
      <c r="M94" s="147" t="s">
        <v>176</v>
      </c>
      <c r="N94" s="147" t="s">
        <v>175</v>
      </c>
      <c r="O94" s="147" t="s">
        <v>176</v>
      </c>
      <c r="R94" s="470"/>
      <c r="S94" s="471"/>
      <c r="T94" s="147" t="s">
        <v>175</v>
      </c>
      <c r="U94" s="147" t="s">
        <v>176</v>
      </c>
      <c r="V94" s="147" t="s">
        <v>175</v>
      </c>
      <c r="W94" s="147" t="s">
        <v>176</v>
      </c>
      <c r="Z94" s="470"/>
      <c r="AA94" s="471"/>
      <c r="AB94" s="147" t="s">
        <v>175</v>
      </c>
      <c r="AC94" s="147" t="s">
        <v>176</v>
      </c>
      <c r="AD94" s="147" t="s">
        <v>175</v>
      </c>
      <c r="AE94" s="147" t="s">
        <v>176</v>
      </c>
      <c r="AH94" s="470"/>
      <c r="AI94" s="471"/>
      <c r="AJ94" s="147" t="s">
        <v>175</v>
      </c>
      <c r="AK94" s="147" t="s">
        <v>176</v>
      </c>
      <c r="AL94" s="147" t="s">
        <v>175</v>
      </c>
      <c r="AM94" s="147" t="s">
        <v>176</v>
      </c>
    </row>
    <row r="95" spans="1:40" ht="18.95" customHeight="1" x14ac:dyDescent="0.25">
      <c r="B95" s="455" t="s">
        <v>246</v>
      </c>
      <c r="C95" s="456"/>
      <c r="D95" s="106">
        <f>F95*салаты!B25/G100</f>
        <v>12</v>
      </c>
      <c r="E95" s="106">
        <f>G95*салаты!B25/G100</f>
        <v>9.6</v>
      </c>
      <c r="F95" s="106">
        <v>200</v>
      </c>
      <c r="G95" s="106">
        <v>160</v>
      </c>
      <c r="J95" s="455" t="s">
        <v>249</v>
      </c>
      <c r="K95" s="456"/>
      <c r="L95" s="106">
        <v>86.69</v>
      </c>
      <c r="M95" s="106">
        <f>840*салаты!B27/1000</f>
        <v>50.4</v>
      </c>
      <c r="N95" s="106">
        <v>8669</v>
      </c>
      <c r="O95" s="106">
        <v>5040</v>
      </c>
      <c r="R95" s="463" t="s">
        <v>261</v>
      </c>
      <c r="S95" s="464"/>
      <c r="T95" s="106"/>
      <c r="U95" s="106">
        <f>W95*салаты!B29/W102</f>
        <v>34.200000000000003</v>
      </c>
      <c r="V95" s="106"/>
      <c r="W95" s="106">
        <v>570</v>
      </c>
      <c r="Z95" s="455" t="s">
        <v>249</v>
      </c>
      <c r="AA95" s="456"/>
      <c r="AB95" s="106">
        <f>AD95*салаты!B31/AE100</f>
        <v>20.82</v>
      </c>
      <c r="AC95" s="106">
        <f>AE95*салаты!B31/AE100</f>
        <v>15</v>
      </c>
      <c r="AD95" s="106">
        <v>347</v>
      </c>
      <c r="AE95" s="106">
        <v>250</v>
      </c>
      <c r="AH95" s="455" t="s">
        <v>249</v>
      </c>
      <c r="AI95" s="456"/>
      <c r="AJ95" s="106">
        <f>AL95*салаты!B33/AM100</f>
        <v>37.5</v>
      </c>
      <c r="AK95" s="106">
        <f>AM95*салаты!B33/AM100</f>
        <v>27</v>
      </c>
      <c r="AL95" s="106">
        <v>625</v>
      </c>
      <c r="AM95" s="106">
        <v>450</v>
      </c>
    </row>
    <row r="96" spans="1:40" ht="18.95" customHeight="1" x14ac:dyDescent="0.25">
      <c r="B96" s="455" t="s">
        <v>242</v>
      </c>
      <c r="C96" s="456"/>
      <c r="D96" s="106">
        <f>F96*салаты!B25/G100</f>
        <v>17.64</v>
      </c>
      <c r="E96" s="106">
        <f>G96*салаты!B25/G100</f>
        <v>15</v>
      </c>
      <c r="F96" s="106">
        <v>294</v>
      </c>
      <c r="G96" s="106">
        <v>250</v>
      </c>
      <c r="J96" s="455" t="s">
        <v>243</v>
      </c>
      <c r="K96" s="456"/>
      <c r="L96" s="106">
        <f>213*салаты!B27/1000</f>
        <v>12.78</v>
      </c>
      <c r="M96" s="106">
        <f>170*салаты!B27/1000</f>
        <v>10.199999999999999</v>
      </c>
      <c r="N96" s="106">
        <v>213</v>
      </c>
      <c r="O96" s="106">
        <v>170</v>
      </c>
      <c r="R96" s="455" t="s">
        <v>210</v>
      </c>
      <c r="S96" s="456"/>
      <c r="T96" s="106">
        <f>V96*салаты!B29/W102</f>
        <v>21</v>
      </c>
      <c r="U96" s="106">
        <f>W96*салаты!B29/W102</f>
        <v>16.8</v>
      </c>
      <c r="V96" s="106">
        <v>350</v>
      </c>
      <c r="W96" s="106">
        <v>280</v>
      </c>
      <c r="Z96" s="463" t="s">
        <v>269</v>
      </c>
      <c r="AA96" s="464"/>
      <c r="AB96" s="106">
        <f>AD96*салаты!B31/AE100</f>
        <v>24.96</v>
      </c>
      <c r="AC96" s="106">
        <f>AE96*салаты!B31/AE100</f>
        <v>15</v>
      </c>
      <c r="AD96" s="106">
        <v>416</v>
      </c>
      <c r="AE96" s="106">
        <v>250</v>
      </c>
      <c r="AH96" s="463" t="s">
        <v>273</v>
      </c>
      <c r="AI96" s="464"/>
      <c r="AJ96" s="106">
        <f>AL96*салаты!B33/AM100</f>
        <v>15.72</v>
      </c>
      <c r="AK96" s="106">
        <f>AM96*салаты!B33/AM100</f>
        <v>10.199999999999999</v>
      </c>
      <c r="AL96" s="106">
        <v>262</v>
      </c>
      <c r="AM96" s="106">
        <v>170</v>
      </c>
    </row>
    <row r="97" spans="1:40" ht="18.95" customHeight="1" x14ac:dyDescent="0.25">
      <c r="B97" s="455" t="s">
        <v>206</v>
      </c>
      <c r="C97" s="456"/>
      <c r="D97" s="106">
        <f>F97*салаты!B25/G100</f>
        <v>20.88</v>
      </c>
      <c r="E97" s="106">
        <f>G97*салаты!B25/G100</f>
        <v>21</v>
      </c>
      <c r="F97" s="106">
        <v>348</v>
      </c>
      <c r="G97" s="106">
        <v>350</v>
      </c>
      <c r="J97" s="455" t="s">
        <v>244</v>
      </c>
      <c r="K97" s="456"/>
      <c r="L97" s="106">
        <f>202*салаты!B27/1000</f>
        <v>12.12</v>
      </c>
      <c r="M97" s="106">
        <f>170*салаты!B27/1000</f>
        <v>10.199999999999999</v>
      </c>
      <c r="N97" s="106">
        <v>202</v>
      </c>
      <c r="O97" s="106">
        <v>170</v>
      </c>
      <c r="R97" s="455" t="s">
        <v>262</v>
      </c>
      <c r="S97" s="456"/>
      <c r="T97" s="106">
        <f>V97*салаты!B29/W102</f>
        <v>24</v>
      </c>
      <c r="U97" s="106">
        <f>W97*салаты!B29/W102</f>
        <v>16.8</v>
      </c>
      <c r="V97" s="106">
        <v>400</v>
      </c>
      <c r="W97" s="106">
        <v>280</v>
      </c>
      <c r="Z97" s="455" t="s">
        <v>246</v>
      </c>
      <c r="AA97" s="456"/>
      <c r="AB97" s="106">
        <f>AD97*салаты!B31/AE100</f>
        <v>18.84</v>
      </c>
      <c r="AC97" s="106">
        <f>AE97*салаты!B31/AE100</f>
        <v>15</v>
      </c>
      <c r="AD97" s="106">
        <v>314</v>
      </c>
      <c r="AE97" s="106">
        <v>250</v>
      </c>
      <c r="AH97" s="455" t="s">
        <v>246</v>
      </c>
      <c r="AI97" s="456"/>
      <c r="AJ97" s="106">
        <f>AL97*салаты!B33/AM100</f>
        <v>18.84</v>
      </c>
      <c r="AK97" s="106">
        <f>AM97*салаты!B33/AM100</f>
        <v>15</v>
      </c>
      <c r="AL97" s="106">
        <v>314</v>
      </c>
      <c r="AM97" s="106">
        <v>250</v>
      </c>
    </row>
    <row r="98" spans="1:40" ht="18.95" customHeight="1" x14ac:dyDescent="0.25">
      <c r="B98" s="463" t="s">
        <v>247</v>
      </c>
      <c r="C98" s="464"/>
      <c r="D98" s="106">
        <f>F98*салаты!B25/G100</f>
        <v>14.28</v>
      </c>
      <c r="E98" s="106">
        <f>G98*салаты!B25/G100</f>
        <v>11.4</v>
      </c>
      <c r="F98" s="106">
        <v>238</v>
      </c>
      <c r="G98" s="106">
        <v>190</v>
      </c>
      <c r="J98" s="455" t="s">
        <v>250</v>
      </c>
      <c r="K98" s="456"/>
      <c r="L98" s="106"/>
      <c r="M98" s="106">
        <f>1000*салаты!B27/1000</f>
        <v>60</v>
      </c>
      <c r="N98" s="106"/>
      <c r="O98" s="106">
        <v>1000</v>
      </c>
      <c r="R98" s="455" t="s">
        <v>210</v>
      </c>
      <c r="S98" s="456"/>
      <c r="T98" s="106">
        <f>V98*салаты!B29/W102</f>
        <v>12.78</v>
      </c>
      <c r="U98" s="106">
        <f>W98*салаты!B29/W102</f>
        <v>10.199999999999999</v>
      </c>
      <c r="V98" s="106">
        <v>213</v>
      </c>
      <c r="W98" s="106">
        <v>170</v>
      </c>
      <c r="Z98" s="455" t="s">
        <v>206</v>
      </c>
      <c r="AA98" s="456"/>
      <c r="AB98" s="106">
        <f>AD98*салаты!B31/AE100</f>
        <v>15</v>
      </c>
      <c r="AC98" s="106">
        <f>AE98*салаты!B31/AE100</f>
        <v>12</v>
      </c>
      <c r="AD98" s="106">
        <v>250</v>
      </c>
      <c r="AE98" s="106">
        <v>200</v>
      </c>
      <c r="AH98" s="455" t="s">
        <v>274</v>
      </c>
      <c r="AI98" s="456"/>
      <c r="AJ98" s="106"/>
      <c r="AK98" s="106">
        <f>AM98*салаты!B33/AM100</f>
        <v>4.8</v>
      </c>
      <c r="AL98" s="106" t="s">
        <v>275</v>
      </c>
      <c r="AM98" s="106">
        <v>80</v>
      </c>
    </row>
    <row r="99" spans="1:40" ht="18.95" customHeight="1" x14ac:dyDescent="0.25">
      <c r="B99" s="455" t="s">
        <v>207</v>
      </c>
      <c r="C99" s="456"/>
      <c r="D99" s="106">
        <f>F99*салаты!B25/G100</f>
        <v>3.6</v>
      </c>
      <c r="E99" s="106">
        <f>G99*салаты!B25/G100</f>
        <v>3.6</v>
      </c>
      <c r="F99" s="106">
        <v>60</v>
      </c>
      <c r="G99" s="106">
        <v>60</v>
      </c>
      <c r="J99" s="455" t="s">
        <v>251</v>
      </c>
      <c r="K99" s="456"/>
      <c r="L99" s="106"/>
      <c r="M99" s="106">
        <f>960*салаты!B27/1000</f>
        <v>57.6</v>
      </c>
      <c r="N99" s="106"/>
      <c r="O99" s="106">
        <v>960</v>
      </c>
      <c r="R99" s="455" t="s">
        <v>264</v>
      </c>
      <c r="S99" s="456"/>
      <c r="T99" s="106">
        <f>V99*салаты!B29/W102</f>
        <v>9.42</v>
      </c>
      <c r="U99" s="106">
        <f>W99*салаты!B29/W102</f>
        <v>6.6</v>
      </c>
      <c r="V99" s="106">
        <v>157</v>
      </c>
      <c r="W99" s="106">
        <v>110</v>
      </c>
      <c r="Z99" s="455" t="s">
        <v>207</v>
      </c>
      <c r="AA99" s="456"/>
      <c r="AB99" s="106">
        <f>AD99*салаты!B31/AE100</f>
        <v>3.6</v>
      </c>
      <c r="AC99" s="106">
        <f>AE99*салаты!B31/AE100</f>
        <v>3.6</v>
      </c>
      <c r="AD99" s="106">
        <v>60</v>
      </c>
      <c r="AE99" s="106">
        <v>60</v>
      </c>
      <c r="AH99" s="455" t="s">
        <v>207</v>
      </c>
      <c r="AI99" s="456"/>
      <c r="AJ99" s="106">
        <f>AL99*салаты!B33/AM100</f>
        <v>3.6</v>
      </c>
      <c r="AK99" s="106">
        <f>AM99*салаты!B33/AM100</f>
        <v>3.6</v>
      </c>
      <c r="AL99" s="106">
        <v>60</v>
      </c>
      <c r="AM99" s="106">
        <v>60</v>
      </c>
    </row>
    <row r="100" spans="1:40" ht="18.95" customHeight="1" x14ac:dyDescent="0.25">
      <c r="B100" s="457" t="s">
        <v>180</v>
      </c>
      <c r="C100" s="458"/>
      <c r="D100" s="118"/>
      <c r="E100" s="106">
        <f>G100*салаты!B25/G100</f>
        <v>60</v>
      </c>
      <c r="F100" s="106"/>
      <c r="G100" s="106">
        <v>1000</v>
      </c>
      <c r="J100" s="455" t="s">
        <v>207</v>
      </c>
      <c r="K100" s="456"/>
      <c r="L100" s="106">
        <f>50*салаты!B27/1000</f>
        <v>3</v>
      </c>
      <c r="M100" s="106">
        <f>50*салаты!B27/1000</f>
        <v>3</v>
      </c>
      <c r="N100" s="106">
        <v>50</v>
      </c>
      <c r="O100" s="106">
        <v>50</v>
      </c>
      <c r="R100" s="455" t="s">
        <v>263</v>
      </c>
      <c r="S100" s="456"/>
      <c r="T100" s="106">
        <f>V100*салаты!B29/W102</f>
        <v>8.2799999999999994</v>
      </c>
      <c r="U100" s="106">
        <f>W100*салаты!B29/W102</f>
        <v>6.6</v>
      </c>
      <c r="V100" s="106">
        <v>138</v>
      </c>
      <c r="W100" s="106">
        <v>110</v>
      </c>
      <c r="Z100" s="457" t="s">
        <v>180</v>
      </c>
      <c r="AA100" s="458"/>
      <c r="AB100" s="118"/>
      <c r="AC100" s="106">
        <f>AE100*салаты!B31/AE100</f>
        <v>60</v>
      </c>
      <c r="AD100" s="106"/>
      <c r="AE100" s="106">
        <v>1000</v>
      </c>
      <c r="AH100" s="457" t="s">
        <v>180</v>
      </c>
      <c r="AI100" s="458"/>
      <c r="AJ100" s="118"/>
      <c r="AK100" s="106">
        <f>AM100*салаты!B33/AM100</f>
        <v>60</v>
      </c>
      <c r="AL100" s="106"/>
      <c r="AM100" s="106">
        <v>1000</v>
      </c>
    </row>
    <row r="101" spans="1:40" ht="18.95" customHeight="1" x14ac:dyDescent="0.25">
      <c r="J101" s="457" t="s">
        <v>180</v>
      </c>
      <c r="K101" s="458"/>
      <c r="L101" s="118"/>
      <c r="M101" s="106">
        <v>100</v>
      </c>
      <c r="N101" s="118"/>
      <c r="O101" s="106">
        <v>1000</v>
      </c>
      <c r="R101" s="455" t="s">
        <v>207</v>
      </c>
      <c r="S101" s="456"/>
      <c r="T101" s="106">
        <f>V101*салаты!B29/W102</f>
        <v>3</v>
      </c>
      <c r="U101" s="106">
        <f>W101*салаты!B29/W102</f>
        <v>3</v>
      </c>
      <c r="V101" s="106">
        <v>50</v>
      </c>
      <c r="W101" s="106">
        <v>50</v>
      </c>
    </row>
    <row r="102" spans="1:40" ht="18.95" customHeight="1" x14ac:dyDescent="0.25">
      <c r="A102" s="459" t="s">
        <v>181</v>
      </c>
      <c r="B102" s="459"/>
      <c r="C102" s="459"/>
      <c r="D102" s="459"/>
      <c r="E102" s="459"/>
      <c r="F102" s="459"/>
      <c r="G102" s="459"/>
      <c r="H102" s="459"/>
      <c r="R102" s="457" t="s">
        <v>180</v>
      </c>
      <c r="S102" s="458"/>
      <c r="T102" s="118"/>
      <c r="U102" s="106">
        <f>W102*салаты!B29/W102</f>
        <v>60</v>
      </c>
      <c r="V102" s="106"/>
      <c r="W102" s="106">
        <v>1000</v>
      </c>
      <c r="Y102" s="459" t="s">
        <v>181</v>
      </c>
      <c r="Z102" s="459"/>
      <c r="AA102" s="459"/>
      <c r="AB102" s="459"/>
      <c r="AC102" s="459"/>
      <c r="AD102" s="459"/>
      <c r="AE102" s="459"/>
      <c r="AF102" s="459"/>
      <c r="AG102" s="459" t="s">
        <v>181</v>
      </c>
      <c r="AH102" s="459"/>
      <c r="AI102" s="459"/>
      <c r="AJ102" s="459"/>
      <c r="AK102" s="459"/>
      <c r="AL102" s="459"/>
      <c r="AM102" s="459"/>
      <c r="AN102" s="459"/>
    </row>
    <row r="103" spans="1:40" ht="18.95" customHeight="1" x14ac:dyDescent="0.25">
      <c r="A103" s="147" t="s">
        <v>182</v>
      </c>
      <c r="B103" s="147" t="s">
        <v>106</v>
      </c>
      <c r="C103" s="115" t="s">
        <v>107</v>
      </c>
      <c r="D103" s="116" t="s">
        <v>187</v>
      </c>
      <c r="E103" s="147" t="s">
        <v>183</v>
      </c>
      <c r="F103" s="147" t="s">
        <v>184</v>
      </c>
      <c r="G103" s="147" t="s">
        <v>185</v>
      </c>
      <c r="H103" s="185" t="s">
        <v>186</v>
      </c>
      <c r="I103" s="459" t="s">
        <v>181</v>
      </c>
      <c r="J103" s="459"/>
      <c r="K103" s="459"/>
      <c r="L103" s="459"/>
      <c r="M103" s="459"/>
      <c r="N103" s="459"/>
      <c r="O103" s="459"/>
      <c r="P103" s="459"/>
      <c r="Y103" s="147" t="s">
        <v>182</v>
      </c>
      <c r="Z103" s="147" t="s">
        <v>106</v>
      </c>
      <c r="AA103" s="115" t="s">
        <v>107</v>
      </c>
      <c r="AB103" s="116" t="s">
        <v>187</v>
      </c>
      <c r="AC103" s="147" t="s">
        <v>183</v>
      </c>
      <c r="AD103" s="147" t="s">
        <v>184</v>
      </c>
      <c r="AE103" s="147" t="s">
        <v>185</v>
      </c>
      <c r="AF103" s="147" t="s">
        <v>186</v>
      </c>
      <c r="AG103" s="147" t="s">
        <v>182</v>
      </c>
      <c r="AH103" s="147" t="s">
        <v>106</v>
      </c>
      <c r="AI103" s="115" t="s">
        <v>107</v>
      </c>
      <c r="AJ103" s="116" t="s">
        <v>187</v>
      </c>
      <c r="AK103" s="147" t="s">
        <v>183</v>
      </c>
      <c r="AL103" s="147" t="s">
        <v>184</v>
      </c>
      <c r="AM103" s="147" t="s">
        <v>185</v>
      </c>
      <c r="AN103" s="185" t="s">
        <v>186</v>
      </c>
    </row>
    <row r="104" spans="1:40" ht="18.95" customHeight="1" x14ac:dyDescent="0.25">
      <c r="A104" s="41">
        <f>салаты!E25</f>
        <v>0.6552</v>
      </c>
      <c r="B104" s="41">
        <f>салаты!F25</f>
        <v>3.6252000000000004</v>
      </c>
      <c r="C104" s="41">
        <f>салаты!G25</f>
        <v>2.2662000000000004</v>
      </c>
      <c r="D104" s="41">
        <f>салаты!H25</f>
        <v>44.34</v>
      </c>
      <c r="E104" s="41">
        <f>салаты!M25</f>
        <v>15.255000000000001</v>
      </c>
      <c r="F104" s="41">
        <f>салаты!O25</f>
        <v>11.3028</v>
      </c>
      <c r="G104" s="41">
        <f>салаты!P25</f>
        <v>0.39779999999999999</v>
      </c>
      <c r="H104" s="41">
        <f>салаты!J25</f>
        <v>7.9272000000000009</v>
      </c>
      <c r="I104" s="147" t="s">
        <v>182</v>
      </c>
      <c r="J104" s="147" t="s">
        <v>106</v>
      </c>
      <c r="K104" s="115" t="s">
        <v>107</v>
      </c>
      <c r="L104" s="116" t="s">
        <v>187</v>
      </c>
      <c r="M104" s="147" t="s">
        <v>183</v>
      </c>
      <c r="N104" s="147" t="s">
        <v>184</v>
      </c>
      <c r="O104" s="147" t="s">
        <v>185</v>
      </c>
      <c r="P104" s="147" t="s">
        <v>186</v>
      </c>
      <c r="Q104" s="460" t="s">
        <v>181</v>
      </c>
      <c r="R104" s="459"/>
      <c r="S104" s="459"/>
      <c r="T104" s="459"/>
      <c r="U104" s="459"/>
      <c r="V104" s="459"/>
      <c r="W104" s="459"/>
      <c r="X104" s="461"/>
      <c r="Y104" s="41">
        <f>салаты!E31</f>
        <v>1.8137999999999999</v>
      </c>
      <c r="Z104" s="41">
        <f>салаты!F31</f>
        <v>3.8147999999999995</v>
      </c>
      <c r="AA104" s="41">
        <f>салаты!G31</f>
        <v>14.231999999999999</v>
      </c>
      <c r="AB104" s="41">
        <f>салаты!H31</f>
        <v>98.52</v>
      </c>
      <c r="AC104" s="41">
        <f>салаты!M31</f>
        <v>11.614199999999999</v>
      </c>
      <c r="AD104" s="41">
        <f>салаты!O31</f>
        <v>15.173999999999999</v>
      </c>
      <c r="AE104" s="41">
        <f>салаты!P31</f>
        <v>0.71699999999999997</v>
      </c>
      <c r="AF104" s="41">
        <f>салаты!J31</f>
        <v>3.4649999999999999</v>
      </c>
      <c r="AG104" s="41">
        <f>салаты!E33</f>
        <v>1.641</v>
      </c>
      <c r="AH104" s="41">
        <f>салаты!F33</f>
        <v>4.2395999999999994</v>
      </c>
      <c r="AI104" s="41">
        <f>салаты!G33</f>
        <v>5.7311999999999994</v>
      </c>
      <c r="AJ104" s="41">
        <f>салаты!H33</f>
        <v>67.62</v>
      </c>
      <c r="AK104" s="41">
        <f>салаты!M33</f>
        <v>11.733000000000001</v>
      </c>
      <c r="AL104" s="41">
        <f>салаты!O33</f>
        <v>14.480399999999999</v>
      </c>
      <c r="AM104" s="41">
        <f>салаты!P33</f>
        <v>0.54</v>
      </c>
      <c r="AN104" s="41">
        <f>салаты!J33</f>
        <v>5.0190000000000001</v>
      </c>
    </row>
    <row r="105" spans="1:40" ht="18.95" customHeight="1" x14ac:dyDescent="0.25">
      <c r="I105" s="41">
        <f>салаты!E27</f>
        <v>0.90900000000000003</v>
      </c>
      <c r="J105" s="41">
        <f>салаты!F27</f>
        <v>3.0606</v>
      </c>
      <c r="K105" s="41">
        <f>салаты!G27</f>
        <v>8.2482000000000006</v>
      </c>
      <c r="L105" s="41">
        <f>салаты!H27</f>
        <v>64.2</v>
      </c>
      <c r="M105" s="41">
        <f>салаты!M27</f>
        <v>9.049199999999999</v>
      </c>
      <c r="N105" s="41">
        <f>салаты!O27</f>
        <v>11.757</v>
      </c>
      <c r="O105" s="41">
        <f>салаты!P27</f>
        <v>0.4602</v>
      </c>
      <c r="P105" s="41">
        <f>салаты!J27</f>
        <v>7.0254000000000003</v>
      </c>
      <c r="Q105" s="147" t="s">
        <v>182</v>
      </c>
      <c r="R105" s="147" t="s">
        <v>106</v>
      </c>
      <c r="S105" s="115" t="s">
        <v>107</v>
      </c>
      <c r="T105" s="116" t="s">
        <v>187</v>
      </c>
      <c r="U105" s="147" t="s">
        <v>183</v>
      </c>
      <c r="V105" s="147" t="s">
        <v>184</v>
      </c>
      <c r="W105" s="147" t="s">
        <v>185</v>
      </c>
      <c r="X105" s="185" t="s">
        <v>186</v>
      </c>
    </row>
    <row r="106" spans="1:40" ht="18.95" customHeight="1" x14ac:dyDescent="0.25">
      <c r="A106" s="462" t="s">
        <v>248</v>
      </c>
      <c r="B106" s="462"/>
      <c r="C106" s="462"/>
      <c r="D106" s="462"/>
      <c r="E106" s="462"/>
      <c r="F106" s="462"/>
      <c r="G106" s="462"/>
      <c r="H106" s="462"/>
      <c r="Q106" s="41">
        <f>салаты!E29</f>
        <v>0.8952</v>
      </c>
      <c r="R106" s="41">
        <f>салаты!F29</f>
        <v>4.7058</v>
      </c>
      <c r="S106" s="41">
        <f>салаты!G29</f>
        <v>5.5931999999999995</v>
      </c>
      <c r="T106" s="41">
        <f>салаты!H29</f>
        <v>68.34</v>
      </c>
      <c r="U106" s="41">
        <f>салаты!M29</f>
        <v>15.263999999999999</v>
      </c>
      <c r="V106" s="41">
        <f>салаты!O29</f>
        <v>9.4559999999999995</v>
      </c>
      <c r="W106" s="41">
        <f>салаты!P29</f>
        <v>0.4098</v>
      </c>
      <c r="X106" s="41">
        <f>салаты!J29</f>
        <v>6.5616000000000003</v>
      </c>
      <c r="Y106" s="462" t="s">
        <v>270</v>
      </c>
      <c r="Z106" s="462"/>
      <c r="AA106" s="462"/>
      <c r="AB106" s="462"/>
      <c r="AC106" s="462"/>
      <c r="AD106" s="462"/>
      <c r="AE106" s="462"/>
      <c r="AF106" s="462"/>
      <c r="AG106" s="462" t="s">
        <v>276</v>
      </c>
      <c r="AH106" s="462"/>
      <c r="AI106" s="462"/>
      <c r="AJ106" s="462"/>
      <c r="AK106" s="462"/>
      <c r="AL106" s="462"/>
      <c r="AM106" s="462"/>
      <c r="AN106" s="462"/>
    </row>
    <row r="107" spans="1:40" ht="18.95" customHeight="1" x14ac:dyDescent="0.25">
      <c r="A107" s="462"/>
      <c r="B107" s="462"/>
      <c r="C107" s="462"/>
      <c r="D107" s="462"/>
      <c r="E107" s="462"/>
      <c r="F107" s="462"/>
      <c r="G107" s="462"/>
      <c r="H107" s="462"/>
      <c r="I107" s="462" t="s">
        <v>254</v>
      </c>
      <c r="J107" s="462"/>
      <c r="K107" s="462"/>
      <c r="L107" s="462"/>
      <c r="M107" s="462"/>
      <c r="N107" s="462"/>
      <c r="O107" s="462"/>
      <c r="P107" s="462"/>
      <c r="Y107" s="462"/>
      <c r="Z107" s="462"/>
      <c r="AA107" s="462"/>
      <c r="AB107" s="462"/>
      <c r="AC107" s="462"/>
      <c r="AD107" s="462"/>
      <c r="AE107" s="462"/>
      <c r="AF107" s="462"/>
      <c r="AG107" s="462"/>
      <c r="AH107" s="462"/>
      <c r="AI107" s="462"/>
      <c r="AJ107" s="462"/>
      <c r="AK107" s="462"/>
      <c r="AL107" s="462"/>
      <c r="AM107" s="462"/>
      <c r="AN107" s="462"/>
    </row>
    <row r="108" spans="1:40" ht="18.95" customHeight="1" x14ac:dyDescent="0.25">
      <c r="A108" s="119"/>
      <c r="B108" s="119"/>
      <c r="C108" s="119"/>
      <c r="D108" s="119"/>
      <c r="E108" s="119"/>
      <c r="F108" s="119"/>
      <c r="G108" s="119"/>
      <c r="H108" s="119"/>
      <c r="I108" s="462"/>
      <c r="J108" s="462"/>
      <c r="K108" s="462"/>
      <c r="L108" s="462"/>
      <c r="M108" s="462"/>
      <c r="N108" s="462"/>
      <c r="O108" s="462"/>
      <c r="P108" s="462"/>
      <c r="Q108" s="462" t="s">
        <v>265</v>
      </c>
      <c r="R108" s="462"/>
      <c r="S108" s="462"/>
      <c r="T108" s="462"/>
      <c r="U108" s="462"/>
      <c r="V108" s="462"/>
      <c r="W108" s="462"/>
      <c r="X108" s="462"/>
      <c r="Y108" s="119"/>
      <c r="Z108" s="119"/>
      <c r="AA108" s="119"/>
      <c r="AB108" s="119"/>
      <c r="AC108" s="119"/>
      <c r="AD108" s="119"/>
      <c r="AE108" s="119"/>
      <c r="AF108" s="119"/>
      <c r="AG108" s="462"/>
      <c r="AH108" s="462"/>
      <c r="AI108" s="462"/>
      <c r="AJ108" s="462"/>
      <c r="AK108" s="462"/>
      <c r="AL108" s="462"/>
      <c r="AM108" s="462"/>
      <c r="AN108" s="462"/>
    </row>
    <row r="109" spans="1:40" ht="18.95" customHeight="1" x14ac:dyDescent="0.25">
      <c r="A109" s="454" t="s">
        <v>232</v>
      </c>
      <c r="B109" s="454"/>
      <c r="C109" s="454"/>
      <c r="Q109" s="462"/>
      <c r="R109" s="462"/>
      <c r="S109" s="462"/>
      <c r="T109" s="462"/>
      <c r="U109" s="462"/>
      <c r="V109" s="462"/>
      <c r="W109" s="462"/>
      <c r="X109" s="462"/>
      <c r="Y109" s="454" t="s">
        <v>232</v>
      </c>
      <c r="Z109" s="454"/>
      <c r="AA109" s="454"/>
    </row>
    <row r="110" spans="1:40" ht="18.95" customHeight="1" x14ac:dyDescent="0.25">
      <c r="I110" s="454" t="s">
        <v>232</v>
      </c>
      <c r="J110" s="454"/>
      <c r="K110" s="454"/>
      <c r="Q110" s="462"/>
      <c r="R110" s="462"/>
      <c r="S110" s="462"/>
      <c r="T110" s="462"/>
      <c r="U110" s="462"/>
      <c r="V110" s="462"/>
      <c r="W110" s="462"/>
      <c r="X110" s="462"/>
      <c r="Y110" s="454"/>
      <c r="Z110" s="454"/>
      <c r="AA110" s="454"/>
      <c r="AG110" s="454" t="s">
        <v>232</v>
      </c>
      <c r="AH110" s="454"/>
      <c r="AI110" s="454"/>
    </row>
    <row r="111" spans="1:40" ht="18.95" customHeight="1" x14ac:dyDescent="0.25"/>
    <row r="112" spans="1:40" ht="18.95" customHeight="1" x14ac:dyDescent="0.25">
      <c r="Q112" s="454" t="s">
        <v>232</v>
      </c>
      <c r="R112" s="454"/>
      <c r="S112" s="454"/>
    </row>
    <row r="113" spans="1:40" ht="18.95" customHeight="1" x14ac:dyDescent="0.25"/>
    <row r="114" spans="1:40" ht="18.95" customHeight="1" x14ac:dyDescent="0.25"/>
    <row r="115" spans="1:40" ht="18.95" customHeight="1" x14ac:dyDescent="0.25"/>
    <row r="116" spans="1:40" ht="18.95" customHeight="1" x14ac:dyDescent="0.25"/>
    <row r="117" spans="1:40" ht="18.95" customHeight="1" x14ac:dyDescent="0.25"/>
    <row r="118" spans="1:40" ht="18.95" customHeight="1" x14ac:dyDescent="0.25"/>
    <row r="119" spans="1:40" ht="18.95" customHeight="1" x14ac:dyDescent="0.25"/>
    <row r="120" spans="1:40" ht="18.95" customHeight="1" x14ac:dyDescent="0.25"/>
    <row r="121" spans="1:40" ht="18.95" customHeight="1" x14ac:dyDescent="0.25"/>
    <row r="122" spans="1:40" ht="18.95" customHeight="1" x14ac:dyDescent="0.25"/>
    <row r="123" spans="1:40" ht="18.95" customHeight="1" x14ac:dyDescent="0.25"/>
    <row r="124" spans="1:40" x14ac:dyDescent="0.25">
      <c r="A124" s="472" t="s">
        <v>214</v>
      </c>
      <c r="B124" s="472"/>
      <c r="C124" s="167"/>
      <c r="D124" s="167"/>
      <c r="E124" s="167"/>
      <c r="F124" s="472" t="s">
        <v>215</v>
      </c>
      <c r="G124" s="472"/>
      <c r="H124" s="472"/>
      <c r="I124" s="472" t="s">
        <v>214</v>
      </c>
      <c r="J124" s="472"/>
      <c r="K124" s="167"/>
      <c r="L124" s="167"/>
      <c r="M124" s="167"/>
      <c r="N124" s="472" t="s">
        <v>215</v>
      </c>
      <c r="O124" s="472"/>
      <c r="P124" s="472"/>
      <c r="Q124" s="472" t="s">
        <v>214</v>
      </c>
      <c r="R124" s="472"/>
      <c r="S124" s="167"/>
      <c r="T124" s="167"/>
      <c r="U124" s="167"/>
      <c r="V124" s="472" t="s">
        <v>215</v>
      </c>
      <c r="W124" s="472"/>
      <c r="X124" s="472"/>
      <c r="Y124" s="472" t="s">
        <v>214</v>
      </c>
      <c r="Z124" s="472"/>
      <c r="AA124" s="167"/>
      <c r="AB124" s="167"/>
      <c r="AC124" s="167"/>
      <c r="AD124" s="472" t="s">
        <v>215</v>
      </c>
      <c r="AE124" s="472"/>
      <c r="AF124" s="472"/>
      <c r="AG124" s="472" t="s">
        <v>214</v>
      </c>
      <c r="AH124" s="472"/>
      <c r="AI124" s="167"/>
      <c r="AJ124" s="167"/>
      <c r="AK124" s="167"/>
      <c r="AL124" s="472" t="s">
        <v>215</v>
      </c>
      <c r="AM124" s="472"/>
      <c r="AN124" s="472"/>
    </row>
    <row r="125" spans="1:40" x14ac:dyDescent="0.25">
      <c r="E125" s="454" t="s">
        <v>216</v>
      </c>
      <c r="F125" s="454"/>
      <c r="G125" s="454"/>
      <c r="H125" s="454"/>
      <c r="M125" s="454" t="s">
        <v>216</v>
      </c>
      <c r="N125" s="454"/>
      <c r="O125" s="454"/>
      <c r="P125" s="454"/>
      <c r="U125" s="454" t="s">
        <v>216</v>
      </c>
      <c r="V125" s="454"/>
      <c r="W125" s="454"/>
      <c r="X125" s="454"/>
      <c r="AC125" s="454" t="s">
        <v>216</v>
      </c>
      <c r="AD125" s="454"/>
      <c r="AE125" s="454"/>
      <c r="AF125" s="454"/>
      <c r="AK125" s="454" t="s">
        <v>216</v>
      </c>
      <c r="AL125" s="454"/>
      <c r="AM125" s="454"/>
      <c r="AN125" s="454"/>
    </row>
    <row r="126" spans="1:40" x14ac:dyDescent="0.25">
      <c r="E126" s="150"/>
      <c r="F126" s="150"/>
      <c r="G126" s="150"/>
      <c r="H126" s="150"/>
    </row>
    <row r="127" spans="1:40" ht="18.95" customHeight="1" x14ac:dyDescent="0.25">
      <c r="A127" s="414" t="s">
        <v>258</v>
      </c>
      <c r="B127" s="414"/>
      <c r="C127" s="414"/>
      <c r="D127" s="414"/>
      <c r="E127" s="414"/>
      <c r="F127" s="414"/>
      <c r="G127" s="414"/>
      <c r="H127" s="414"/>
      <c r="I127" s="414" t="s">
        <v>277</v>
      </c>
      <c r="J127" s="414"/>
      <c r="K127" s="414"/>
      <c r="L127" s="414"/>
      <c r="M127" s="414"/>
      <c r="N127" s="414"/>
      <c r="O127" s="414"/>
      <c r="P127" s="414"/>
      <c r="Q127" s="414" t="s">
        <v>278</v>
      </c>
      <c r="R127" s="414"/>
      <c r="S127" s="414"/>
      <c r="T127" s="414"/>
      <c r="U127" s="414"/>
      <c r="V127" s="414"/>
      <c r="W127" s="414"/>
      <c r="X127" s="414"/>
      <c r="Y127" s="414" t="s">
        <v>279</v>
      </c>
      <c r="Z127" s="414"/>
      <c r="AA127" s="414"/>
      <c r="AB127" s="414"/>
      <c r="AC127" s="414"/>
      <c r="AD127" s="414"/>
      <c r="AE127" s="414"/>
      <c r="AF127" s="414"/>
      <c r="AG127" s="414" t="s">
        <v>280</v>
      </c>
      <c r="AH127" s="414"/>
      <c r="AI127" s="414"/>
      <c r="AJ127" s="414"/>
      <c r="AK127" s="414"/>
      <c r="AL127" s="414"/>
      <c r="AM127" s="414"/>
      <c r="AN127" s="414"/>
    </row>
    <row r="128" spans="1:40" ht="18.95" customHeight="1" x14ac:dyDescent="0.25">
      <c r="A128" s="477" t="s">
        <v>897</v>
      </c>
      <c r="B128" s="478"/>
      <c r="C128" s="478"/>
      <c r="D128" s="478"/>
      <c r="E128" s="478"/>
      <c r="F128" s="478"/>
      <c r="G128" s="478"/>
      <c r="H128" s="478"/>
      <c r="I128" s="473" t="s">
        <v>284</v>
      </c>
      <c r="J128" s="465"/>
      <c r="K128" s="465"/>
      <c r="L128" s="465"/>
      <c r="M128" s="465"/>
      <c r="N128" s="465"/>
      <c r="O128" s="465"/>
      <c r="P128" s="465"/>
      <c r="Q128" s="473" t="s">
        <v>291</v>
      </c>
      <c r="R128" s="465"/>
      <c r="S128" s="465"/>
      <c r="T128" s="465"/>
      <c r="U128" s="465"/>
      <c r="V128" s="465"/>
      <c r="W128" s="465"/>
      <c r="X128" s="465"/>
      <c r="Y128" s="473" t="s">
        <v>300</v>
      </c>
      <c r="Z128" s="465"/>
      <c r="AA128" s="465"/>
      <c r="AB128" s="465"/>
      <c r="AC128" s="465"/>
      <c r="AD128" s="465"/>
      <c r="AE128" s="465"/>
      <c r="AF128" s="465"/>
      <c r="AG128" s="473" t="s">
        <v>898</v>
      </c>
      <c r="AH128" s="465"/>
      <c r="AI128" s="465"/>
      <c r="AJ128" s="465"/>
      <c r="AK128" s="465"/>
      <c r="AL128" s="465"/>
      <c r="AM128" s="465"/>
      <c r="AN128" s="465"/>
    </row>
    <row r="129" spans="1:40" ht="18.95" customHeight="1" x14ac:dyDescent="0.25">
      <c r="A129" s="473" t="s">
        <v>281</v>
      </c>
      <c r="B129" s="473"/>
      <c r="C129" s="473"/>
      <c r="D129" s="473"/>
      <c r="E129" s="473"/>
      <c r="F129" s="473"/>
      <c r="G129" s="473"/>
      <c r="H129" s="473"/>
      <c r="I129" s="473" t="s">
        <v>283</v>
      </c>
      <c r="J129" s="473"/>
      <c r="K129" s="473"/>
      <c r="L129" s="473"/>
      <c r="M129" s="473"/>
      <c r="N129" s="473"/>
      <c r="O129" s="473"/>
      <c r="P129" s="473"/>
      <c r="Q129" s="473" t="s">
        <v>290</v>
      </c>
      <c r="R129" s="473"/>
      <c r="S129" s="473"/>
      <c r="T129" s="473"/>
      <c r="U129" s="473"/>
      <c r="V129" s="473"/>
      <c r="W129" s="473"/>
      <c r="X129" s="473"/>
      <c r="Y129" s="473" t="s">
        <v>299</v>
      </c>
      <c r="Z129" s="473"/>
      <c r="AA129" s="473"/>
      <c r="AB129" s="473"/>
      <c r="AC129" s="473"/>
      <c r="AD129" s="473"/>
      <c r="AE129" s="473"/>
      <c r="AF129" s="473"/>
      <c r="AG129" s="473" t="s">
        <v>303</v>
      </c>
      <c r="AH129" s="473"/>
      <c r="AI129" s="473"/>
      <c r="AJ129" s="473"/>
      <c r="AK129" s="473"/>
      <c r="AL129" s="473"/>
      <c r="AM129" s="473"/>
      <c r="AN129" s="473"/>
    </row>
    <row r="130" spans="1:40" ht="18.95" customHeight="1" x14ac:dyDescent="0.25">
      <c r="A130" s="465" t="s">
        <v>189</v>
      </c>
      <c r="B130" s="465"/>
      <c r="C130" s="465"/>
      <c r="D130" s="465"/>
      <c r="E130" s="465"/>
      <c r="F130" s="465"/>
      <c r="G130" s="465"/>
      <c r="H130" s="465"/>
      <c r="I130" s="465" t="s">
        <v>189</v>
      </c>
      <c r="J130" s="465"/>
      <c r="K130" s="465"/>
      <c r="L130" s="465"/>
      <c r="M130" s="465"/>
      <c r="N130" s="465"/>
      <c r="O130" s="465"/>
      <c r="P130" s="465"/>
      <c r="Q130" s="465" t="s">
        <v>189</v>
      </c>
      <c r="R130" s="465"/>
      <c r="S130" s="465"/>
      <c r="T130" s="465"/>
      <c r="U130" s="465"/>
      <c r="V130" s="465"/>
      <c r="W130" s="465"/>
      <c r="X130" s="465"/>
      <c r="Y130" s="465" t="s">
        <v>189</v>
      </c>
      <c r="Z130" s="465"/>
      <c r="AA130" s="465"/>
      <c r="AB130" s="465"/>
      <c r="AC130" s="465"/>
      <c r="AD130" s="465"/>
      <c r="AE130" s="465"/>
      <c r="AF130" s="465"/>
      <c r="AG130" s="465" t="s">
        <v>189</v>
      </c>
      <c r="AH130" s="465"/>
      <c r="AI130" s="465"/>
      <c r="AJ130" s="465"/>
      <c r="AK130" s="465"/>
      <c r="AL130" s="465"/>
      <c r="AM130" s="465"/>
      <c r="AN130" s="465"/>
    </row>
    <row r="131" spans="1:40" ht="18.95" customHeight="1" x14ac:dyDescent="0.25">
      <c r="A131" s="465" t="s">
        <v>190</v>
      </c>
      <c r="B131" s="465"/>
      <c r="C131" s="465"/>
      <c r="D131" s="465"/>
      <c r="E131" s="465"/>
      <c r="F131" s="465"/>
      <c r="G131" s="465"/>
      <c r="H131" s="465"/>
      <c r="I131" s="465" t="s">
        <v>190</v>
      </c>
      <c r="J131" s="465"/>
      <c r="K131" s="465"/>
      <c r="L131" s="465"/>
      <c r="M131" s="465"/>
      <c r="N131" s="465"/>
      <c r="O131" s="465"/>
      <c r="P131" s="465"/>
      <c r="Q131" s="465" t="s">
        <v>190</v>
      </c>
      <c r="R131" s="465"/>
      <c r="S131" s="465"/>
      <c r="T131" s="465"/>
      <c r="U131" s="465"/>
      <c r="V131" s="465"/>
      <c r="W131" s="465"/>
      <c r="X131" s="465"/>
      <c r="Y131" s="465" t="s">
        <v>190</v>
      </c>
      <c r="Z131" s="465"/>
      <c r="AA131" s="465"/>
      <c r="AB131" s="465"/>
      <c r="AC131" s="465"/>
      <c r="AD131" s="465"/>
      <c r="AE131" s="465"/>
      <c r="AF131" s="465"/>
      <c r="AG131" s="465" t="s">
        <v>190</v>
      </c>
      <c r="AH131" s="465"/>
      <c r="AI131" s="465"/>
      <c r="AJ131" s="465"/>
      <c r="AK131" s="465"/>
      <c r="AL131" s="465"/>
      <c r="AM131" s="465"/>
      <c r="AN131" s="465"/>
    </row>
    <row r="132" spans="1:40" ht="18.95" customHeight="1" x14ac:dyDescent="0.25">
      <c r="C132" s="148"/>
      <c r="K132" s="148"/>
      <c r="S132" s="148"/>
      <c r="AA132" s="148"/>
      <c r="AI132" s="148"/>
    </row>
    <row r="133" spans="1:40" ht="18.95" customHeight="1" x14ac:dyDescent="0.25">
      <c r="B133" s="466" t="s">
        <v>174</v>
      </c>
      <c r="C133" s="467"/>
      <c r="D133" s="412" t="s">
        <v>179</v>
      </c>
      <c r="E133" s="412"/>
      <c r="F133" s="412"/>
      <c r="G133" s="412"/>
      <c r="J133" s="466" t="s">
        <v>174</v>
      </c>
      <c r="K133" s="467"/>
      <c r="L133" s="412" t="s">
        <v>179</v>
      </c>
      <c r="M133" s="412"/>
      <c r="N133" s="412"/>
      <c r="O133" s="412"/>
      <c r="R133" s="466" t="s">
        <v>174</v>
      </c>
      <c r="S133" s="467"/>
      <c r="T133" s="412" t="s">
        <v>179</v>
      </c>
      <c r="U133" s="412"/>
      <c r="V133" s="412"/>
      <c r="W133" s="412"/>
      <c r="Z133" s="466" t="s">
        <v>174</v>
      </c>
      <c r="AA133" s="467"/>
      <c r="AB133" s="412" t="s">
        <v>179</v>
      </c>
      <c r="AC133" s="412"/>
      <c r="AD133" s="412"/>
      <c r="AE133" s="412"/>
      <c r="AH133" s="466" t="s">
        <v>174</v>
      </c>
      <c r="AI133" s="467"/>
      <c r="AJ133" s="412" t="s">
        <v>179</v>
      </c>
      <c r="AK133" s="412"/>
      <c r="AL133" s="412"/>
      <c r="AM133" s="412"/>
    </row>
    <row r="134" spans="1:40" ht="18.95" customHeight="1" x14ac:dyDescent="0.25">
      <c r="B134" s="468"/>
      <c r="C134" s="469"/>
      <c r="D134" s="412" t="s">
        <v>177</v>
      </c>
      <c r="E134" s="412"/>
      <c r="F134" s="412" t="s">
        <v>178</v>
      </c>
      <c r="G134" s="412"/>
      <c r="J134" s="468"/>
      <c r="K134" s="469"/>
      <c r="L134" s="412" t="s">
        <v>177</v>
      </c>
      <c r="M134" s="412"/>
      <c r="N134" s="412" t="s">
        <v>178</v>
      </c>
      <c r="O134" s="412"/>
      <c r="R134" s="468"/>
      <c r="S134" s="469"/>
      <c r="T134" s="412" t="s">
        <v>177</v>
      </c>
      <c r="U134" s="412"/>
      <c r="V134" s="412" t="s">
        <v>178</v>
      </c>
      <c r="W134" s="412"/>
      <c r="Z134" s="468"/>
      <c r="AA134" s="469"/>
      <c r="AB134" s="412" t="s">
        <v>177</v>
      </c>
      <c r="AC134" s="412"/>
      <c r="AD134" s="412" t="s">
        <v>178</v>
      </c>
      <c r="AE134" s="412"/>
      <c r="AH134" s="468"/>
      <c r="AI134" s="469"/>
      <c r="AJ134" s="412" t="s">
        <v>177</v>
      </c>
      <c r="AK134" s="412"/>
      <c r="AL134" s="412" t="s">
        <v>178</v>
      </c>
      <c r="AM134" s="412"/>
    </row>
    <row r="135" spans="1:40" ht="18.95" customHeight="1" x14ac:dyDescent="0.25">
      <c r="B135" s="470"/>
      <c r="C135" s="471"/>
      <c r="D135" s="147" t="s">
        <v>175</v>
      </c>
      <c r="E135" s="147" t="s">
        <v>176</v>
      </c>
      <c r="F135" s="147" t="s">
        <v>175</v>
      </c>
      <c r="G135" s="147" t="s">
        <v>176</v>
      </c>
      <c r="J135" s="470"/>
      <c r="K135" s="471"/>
      <c r="L135" s="147" t="s">
        <v>175</v>
      </c>
      <c r="M135" s="147" t="s">
        <v>176</v>
      </c>
      <c r="N135" s="147" t="s">
        <v>175</v>
      </c>
      <c r="O135" s="147" t="s">
        <v>176</v>
      </c>
      <c r="R135" s="470"/>
      <c r="S135" s="471"/>
      <c r="T135" s="147" t="s">
        <v>175</v>
      </c>
      <c r="U135" s="147" t="s">
        <v>176</v>
      </c>
      <c r="V135" s="147" t="s">
        <v>175</v>
      </c>
      <c r="W135" s="147" t="s">
        <v>176</v>
      </c>
      <c r="Z135" s="470"/>
      <c r="AA135" s="471"/>
      <c r="AB135" s="147" t="s">
        <v>175</v>
      </c>
      <c r="AC135" s="147" t="s">
        <v>176</v>
      </c>
      <c r="AD135" s="147" t="s">
        <v>175</v>
      </c>
      <c r="AE135" s="147" t="s">
        <v>176</v>
      </c>
      <c r="AH135" s="470"/>
      <c r="AI135" s="471"/>
      <c r="AJ135" s="147" t="s">
        <v>175</v>
      </c>
      <c r="AK135" s="147" t="s">
        <v>176</v>
      </c>
      <c r="AL135" s="147" t="s">
        <v>175</v>
      </c>
      <c r="AM135" s="147" t="s">
        <v>176</v>
      </c>
    </row>
    <row r="136" spans="1:40" ht="18.95" customHeight="1" x14ac:dyDescent="0.25">
      <c r="B136" s="455" t="s">
        <v>249</v>
      </c>
      <c r="C136" s="456"/>
      <c r="D136" s="106">
        <f>818*салаты!B35/1000</f>
        <v>49.08</v>
      </c>
      <c r="E136" s="106">
        <f>490*салаты!B35/1000</f>
        <v>29.4</v>
      </c>
      <c r="F136" s="106">
        <f t="shared" ref="F136:G140" si="2">D136*100</f>
        <v>4908</v>
      </c>
      <c r="G136" s="106">
        <f t="shared" si="2"/>
        <v>2940</v>
      </c>
      <c r="J136" s="455" t="s">
        <v>285</v>
      </c>
      <c r="K136" s="456"/>
      <c r="L136" s="106">
        <f>N136*салаты!B37/O142</f>
        <v>47.4</v>
      </c>
      <c r="M136" s="106">
        <f>O136*салаты!B37/O142</f>
        <v>22.2</v>
      </c>
      <c r="N136" s="106">
        <v>790</v>
      </c>
      <c r="O136" s="106">
        <v>370</v>
      </c>
      <c r="R136" s="479" t="s">
        <v>292</v>
      </c>
      <c r="S136" s="480"/>
      <c r="T136" s="106">
        <f>V136*салаты!B39/W144</f>
        <v>59.16</v>
      </c>
      <c r="U136" s="106">
        <f>W136*салаты!B39/W144</f>
        <v>47.34</v>
      </c>
      <c r="V136" s="106">
        <v>986</v>
      </c>
      <c r="W136" s="106">
        <v>789</v>
      </c>
      <c r="Z136" s="455" t="s">
        <v>301</v>
      </c>
      <c r="AA136" s="456"/>
      <c r="AB136" s="106">
        <v>79.8</v>
      </c>
      <c r="AC136" s="106">
        <v>57</v>
      </c>
      <c r="AD136" s="106">
        <v>7980</v>
      </c>
      <c r="AE136" s="106">
        <v>570</v>
      </c>
      <c r="AH136" s="455" t="s">
        <v>301</v>
      </c>
      <c r="AI136" s="456"/>
      <c r="AJ136" s="106">
        <f>AL136*салаты!B43/AM141</f>
        <v>38.340000000000003</v>
      </c>
      <c r="AK136" s="106">
        <f>AM136*салаты!B43/AM141</f>
        <v>30</v>
      </c>
      <c r="AL136" s="106">
        <v>639</v>
      </c>
      <c r="AM136" s="106">
        <v>500</v>
      </c>
    </row>
    <row r="137" spans="1:40" ht="18.95" customHeight="1" x14ac:dyDescent="0.25">
      <c r="B137" s="463" t="s">
        <v>273</v>
      </c>
      <c r="C137" s="464"/>
      <c r="D137" s="106">
        <f>262*салаты!B35/1000</f>
        <v>15.72</v>
      </c>
      <c r="E137" s="106">
        <f>170*салаты!B35/1000</f>
        <v>10.199999999999999</v>
      </c>
      <c r="F137" s="106">
        <f t="shared" si="2"/>
        <v>1572</v>
      </c>
      <c r="G137" s="106">
        <f t="shared" si="2"/>
        <v>1019.9999999999999</v>
      </c>
      <c r="J137" s="455" t="s">
        <v>286</v>
      </c>
      <c r="K137" s="456"/>
      <c r="L137" s="106">
        <f>N137*салаты!B37/O142</f>
        <v>30.84</v>
      </c>
      <c r="M137" s="106">
        <f>O137*салаты!B37/O142</f>
        <v>22.2</v>
      </c>
      <c r="N137" s="106">
        <v>514</v>
      </c>
      <c r="O137" s="106">
        <v>370</v>
      </c>
      <c r="R137" s="455" t="s">
        <v>293</v>
      </c>
      <c r="S137" s="456"/>
      <c r="T137" s="106"/>
      <c r="U137" s="106">
        <f>W137*салаты!B39/W144</f>
        <v>42.6</v>
      </c>
      <c r="V137" s="106"/>
      <c r="W137" s="106">
        <v>710</v>
      </c>
      <c r="Z137" s="455" t="s">
        <v>207</v>
      </c>
      <c r="AA137" s="456"/>
      <c r="AB137" s="106">
        <v>3.6</v>
      </c>
      <c r="AC137" s="106">
        <v>3.6</v>
      </c>
      <c r="AD137" s="106">
        <v>360</v>
      </c>
      <c r="AE137" s="106">
        <v>360</v>
      </c>
      <c r="AH137" s="463" t="s">
        <v>273</v>
      </c>
      <c r="AI137" s="464"/>
      <c r="AJ137" s="106">
        <f>AL137*салаты!B43/AM141</f>
        <v>23.1</v>
      </c>
      <c r="AK137" s="106">
        <f>AM137*салаты!B43/AM141</f>
        <v>15</v>
      </c>
      <c r="AL137" s="106">
        <v>385</v>
      </c>
      <c r="AM137" s="106">
        <v>250</v>
      </c>
    </row>
    <row r="138" spans="1:40" ht="18.95" customHeight="1" x14ac:dyDescent="0.25">
      <c r="B138" s="455" t="s">
        <v>210</v>
      </c>
      <c r="C138" s="456"/>
      <c r="D138" s="106">
        <f>300*салаты!B35/1000</f>
        <v>18</v>
      </c>
      <c r="E138" s="106">
        <f>240*салаты!B35/1000</f>
        <v>14.4</v>
      </c>
      <c r="F138" s="106">
        <f t="shared" si="2"/>
        <v>1800</v>
      </c>
      <c r="G138" s="106">
        <f t="shared" si="2"/>
        <v>1440</v>
      </c>
      <c r="J138" s="455" t="s">
        <v>242</v>
      </c>
      <c r="K138" s="456"/>
      <c r="L138" s="106">
        <f>N138*салаты!B37/O142</f>
        <v>16.260000000000002</v>
      </c>
      <c r="M138" s="106">
        <f>O138*салаты!B37/O142</f>
        <v>13.8</v>
      </c>
      <c r="N138" s="106">
        <v>271</v>
      </c>
      <c r="O138" s="106">
        <v>230</v>
      </c>
      <c r="R138" s="455" t="s">
        <v>243</v>
      </c>
      <c r="S138" s="456"/>
      <c r="T138" s="106">
        <f>V138*салаты!B39/W144</f>
        <v>7.5</v>
      </c>
      <c r="U138" s="106">
        <f>W138*салаты!B39/W144</f>
        <v>6</v>
      </c>
      <c r="V138" s="106">
        <v>125</v>
      </c>
      <c r="W138" s="106">
        <v>100</v>
      </c>
      <c r="Z138" s="457" t="s">
        <v>180</v>
      </c>
      <c r="AA138" s="458"/>
      <c r="AB138" s="118"/>
      <c r="AC138" s="106">
        <f>AE138*салаты!B41/AE138</f>
        <v>60</v>
      </c>
      <c r="AD138" s="106"/>
      <c r="AE138" s="106">
        <v>600</v>
      </c>
      <c r="AH138" s="455" t="s">
        <v>304</v>
      </c>
      <c r="AI138" s="456"/>
      <c r="AJ138" s="106">
        <f>AL138*салаты!B43/AM141</f>
        <v>15.42</v>
      </c>
      <c r="AK138" s="106">
        <f>AM138*салаты!B43/AM141</f>
        <v>10.8</v>
      </c>
      <c r="AL138" s="106">
        <v>257</v>
      </c>
      <c r="AM138" s="106">
        <v>180</v>
      </c>
    </row>
    <row r="139" spans="1:40" ht="18.95" customHeight="1" x14ac:dyDescent="0.25">
      <c r="B139" s="455" t="s">
        <v>211</v>
      </c>
      <c r="C139" s="456"/>
      <c r="D139" s="106">
        <f>60*салаты!B35/1000</f>
        <v>3.6</v>
      </c>
      <c r="E139" s="106">
        <f>50*салаты!B35/1000</f>
        <v>3</v>
      </c>
      <c r="F139" s="106">
        <f t="shared" si="2"/>
        <v>360</v>
      </c>
      <c r="G139" s="106">
        <f t="shared" si="2"/>
        <v>300</v>
      </c>
      <c r="J139" s="455" t="s">
        <v>206</v>
      </c>
      <c r="K139" s="456"/>
      <c r="L139" s="106">
        <f>N139*салаты!B37/O142</f>
        <v>17.28</v>
      </c>
      <c r="M139" s="106">
        <f>O139*салаты!B37/O142</f>
        <v>13.8</v>
      </c>
      <c r="N139" s="106">
        <v>288</v>
      </c>
      <c r="O139" s="106">
        <v>230</v>
      </c>
      <c r="R139" s="455" t="s">
        <v>294</v>
      </c>
      <c r="S139" s="456"/>
      <c r="T139" s="106">
        <f>V139*салаты!B39/W144</f>
        <v>7.5</v>
      </c>
      <c r="U139" s="106">
        <f>W139*салаты!B39/W144</f>
        <v>6</v>
      </c>
      <c r="V139" s="106">
        <v>125</v>
      </c>
      <c r="W139" s="106">
        <v>100</v>
      </c>
      <c r="AH139" s="455" t="s">
        <v>211</v>
      </c>
      <c r="AI139" s="456"/>
      <c r="AJ139" s="106">
        <f>AL139*салаты!B43/AM141</f>
        <v>3.6</v>
      </c>
      <c r="AK139" s="106">
        <f>AM139*салаты!B43/AM141</f>
        <v>3</v>
      </c>
      <c r="AL139" s="106">
        <v>60</v>
      </c>
      <c r="AM139" s="106">
        <v>50</v>
      </c>
    </row>
    <row r="140" spans="1:40" ht="18.95" customHeight="1" x14ac:dyDescent="0.25">
      <c r="B140" s="455" t="s">
        <v>207</v>
      </c>
      <c r="C140" s="456"/>
      <c r="D140" s="106">
        <f>60*салаты!B35/1000</f>
        <v>3.6</v>
      </c>
      <c r="E140" s="106">
        <f>60*салаты!B35/1000</f>
        <v>3.6</v>
      </c>
      <c r="F140" s="106">
        <f t="shared" si="2"/>
        <v>360</v>
      </c>
      <c r="G140" s="106">
        <f t="shared" si="2"/>
        <v>360</v>
      </c>
      <c r="J140" s="455" t="s">
        <v>287</v>
      </c>
      <c r="K140" s="456"/>
      <c r="L140" s="106"/>
      <c r="M140" s="106">
        <f>O140*салаты!B37/O142</f>
        <v>7.2</v>
      </c>
      <c r="N140" s="106" t="s">
        <v>288</v>
      </c>
      <c r="O140" s="106">
        <v>120</v>
      </c>
      <c r="R140" s="455" t="s">
        <v>295</v>
      </c>
      <c r="S140" s="456"/>
      <c r="T140" s="106">
        <f>V140*салаты!B39/W144</f>
        <v>0.18</v>
      </c>
      <c r="U140" s="106">
        <f>W140*салаты!B39/W144</f>
        <v>0.18</v>
      </c>
      <c r="V140" s="106">
        <v>3</v>
      </c>
      <c r="W140" s="106">
        <v>3</v>
      </c>
      <c r="Y140" s="459" t="s">
        <v>181</v>
      </c>
      <c r="Z140" s="459"/>
      <c r="AA140" s="459"/>
      <c r="AB140" s="459"/>
      <c r="AC140" s="459"/>
      <c r="AD140" s="459"/>
      <c r="AE140" s="459"/>
      <c r="AF140" s="459"/>
      <c r="AH140" s="455" t="s">
        <v>207</v>
      </c>
      <c r="AI140" s="456"/>
      <c r="AJ140" s="106">
        <f>AL140*салаты!B43/AM141</f>
        <v>2.4</v>
      </c>
      <c r="AK140" s="106">
        <f>AM140*салаты!B43/AM141</f>
        <v>2.4</v>
      </c>
      <c r="AL140" s="106">
        <v>40</v>
      </c>
      <c r="AM140" s="106">
        <v>40</v>
      </c>
    </row>
    <row r="141" spans="1:40" ht="18.95" customHeight="1" x14ac:dyDescent="0.25">
      <c r="B141" s="457" t="s">
        <v>180</v>
      </c>
      <c r="C141" s="458"/>
      <c r="D141" s="106"/>
      <c r="E141" s="106">
        <f>салаты!B35</f>
        <v>60</v>
      </c>
      <c r="F141" s="106"/>
      <c r="G141" s="106">
        <f>E141*100</f>
        <v>6000</v>
      </c>
      <c r="J141" s="455" t="s">
        <v>207</v>
      </c>
      <c r="K141" s="456"/>
      <c r="L141" s="106">
        <f>N141*салаты!B37/O142</f>
        <v>3.6</v>
      </c>
      <c r="M141" s="106">
        <f>O141*салаты!B37/O142</f>
        <v>3.6</v>
      </c>
      <c r="N141" s="106">
        <v>60</v>
      </c>
      <c r="O141" s="106">
        <v>60</v>
      </c>
      <c r="R141" s="455" t="s">
        <v>296</v>
      </c>
      <c r="S141" s="456"/>
      <c r="T141" s="106">
        <f>V141*салаты!B39/W144</f>
        <v>5.82</v>
      </c>
      <c r="U141" s="106">
        <f>W141*салаты!B39/W144</f>
        <v>5.82</v>
      </c>
      <c r="V141" s="106">
        <v>97</v>
      </c>
      <c r="W141" s="106">
        <v>97</v>
      </c>
      <c r="Y141" s="147" t="s">
        <v>182</v>
      </c>
      <c r="Z141" s="147" t="s">
        <v>106</v>
      </c>
      <c r="AA141" s="115" t="s">
        <v>107</v>
      </c>
      <c r="AB141" s="116" t="s">
        <v>187</v>
      </c>
      <c r="AC141" s="147" t="s">
        <v>183</v>
      </c>
      <c r="AD141" s="147" t="s">
        <v>184</v>
      </c>
      <c r="AE141" s="147" t="s">
        <v>185</v>
      </c>
      <c r="AF141" s="147" t="s">
        <v>186</v>
      </c>
      <c r="AH141" s="457" t="s">
        <v>180</v>
      </c>
      <c r="AI141" s="458"/>
      <c r="AJ141" s="118"/>
      <c r="AK141" s="106">
        <f>AM141*салаты!B43/AM141</f>
        <v>60</v>
      </c>
      <c r="AL141" s="106"/>
      <c r="AM141" s="106">
        <v>1000</v>
      </c>
    </row>
    <row r="142" spans="1:40" ht="18.95" customHeight="1" x14ac:dyDescent="0.25">
      <c r="J142" s="457" t="s">
        <v>180</v>
      </c>
      <c r="K142" s="458"/>
      <c r="L142" s="118"/>
      <c r="M142" s="106">
        <f>O142*салаты!B37/O142</f>
        <v>60</v>
      </c>
      <c r="N142" s="118"/>
      <c r="O142" s="106">
        <v>1000</v>
      </c>
      <c r="R142" s="455" t="s">
        <v>297</v>
      </c>
      <c r="S142" s="456"/>
      <c r="T142" s="106">
        <f>V142*салаты!B39/W144</f>
        <v>3</v>
      </c>
      <c r="U142" s="106">
        <f>W142*салаты!B39/W144</f>
        <v>3</v>
      </c>
      <c r="V142" s="106">
        <v>50</v>
      </c>
      <c r="W142" s="106">
        <v>50</v>
      </c>
      <c r="Y142" s="41">
        <f>салаты!E41</f>
        <v>0.8448</v>
      </c>
      <c r="Z142" s="41">
        <f>салаты!F41</f>
        <v>3.6071999999999997</v>
      </c>
      <c r="AA142" s="41">
        <f>салаты!G41</f>
        <v>4.9560000000000004</v>
      </c>
      <c r="AB142" s="41">
        <f>салаты!H41</f>
        <v>55.68</v>
      </c>
      <c r="AC142" s="41">
        <f>салаты!M41</f>
        <v>21.278399999999998</v>
      </c>
      <c r="AD142" s="41">
        <f>салаты!O41</f>
        <v>12.417</v>
      </c>
      <c r="AE142" s="41">
        <f>салаты!P41</f>
        <v>0.7944</v>
      </c>
      <c r="AF142" s="41">
        <f>салаты!J41</f>
        <v>3.99</v>
      </c>
    </row>
    <row r="143" spans="1:40" ht="18.95" customHeight="1" x14ac:dyDescent="0.25">
      <c r="A143" s="459" t="s">
        <v>181</v>
      </c>
      <c r="B143" s="459"/>
      <c r="C143" s="459"/>
      <c r="D143" s="459"/>
      <c r="E143" s="459"/>
      <c r="F143" s="459"/>
      <c r="G143" s="459"/>
      <c r="H143" s="459"/>
      <c r="R143" s="455" t="s">
        <v>207</v>
      </c>
      <c r="S143" s="456"/>
      <c r="T143" s="106">
        <f>V143*салаты!B39/W144</f>
        <v>3</v>
      </c>
      <c r="U143" s="106">
        <f>W143*салаты!B39/W144</f>
        <v>3</v>
      </c>
      <c r="V143" s="106">
        <v>50</v>
      </c>
      <c r="W143" s="106">
        <v>50</v>
      </c>
      <c r="AG143" s="459" t="s">
        <v>181</v>
      </c>
      <c r="AH143" s="459"/>
      <c r="AI143" s="459"/>
      <c r="AJ143" s="459"/>
      <c r="AK143" s="459"/>
      <c r="AL143" s="459"/>
      <c r="AM143" s="459"/>
      <c r="AN143" s="459"/>
    </row>
    <row r="144" spans="1:40" ht="18.95" customHeight="1" x14ac:dyDescent="0.25">
      <c r="A144" s="147" t="s">
        <v>182</v>
      </c>
      <c r="B144" s="147" t="s">
        <v>106</v>
      </c>
      <c r="C144" s="115" t="s">
        <v>107</v>
      </c>
      <c r="D144" s="116" t="s">
        <v>187</v>
      </c>
      <c r="E144" s="147" t="s">
        <v>183</v>
      </c>
      <c r="F144" s="147" t="s">
        <v>184</v>
      </c>
      <c r="G144" s="147" t="s">
        <v>185</v>
      </c>
      <c r="H144" s="185" t="s">
        <v>186</v>
      </c>
      <c r="I144" s="459" t="s">
        <v>181</v>
      </c>
      <c r="J144" s="459"/>
      <c r="K144" s="459"/>
      <c r="L144" s="459"/>
      <c r="M144" s="459"/>
      <c r="N144" s="459"/>
      <c r="O144" s="459"/>
      <c r="P144" s="459"/>
      <c r="R144" s="457" t="s">
        <v>180</v>
      </c>
      <c r="S144" s="458"/>
      <c r="T144" s="118"/>
      <c r="U144" s="106">
        <f>W144*салаты!B39/W144</f>
        <v>60</v>
      </c>
      <c r="V144" s="106"/>
      <c r="W144" s="106">
        <v>1000</v>
      </c>
      <c r="Y144" s="462" t="s">
        <v>302</v>
      </c>
      <c r="Z144" s="462"/>
      <c r="AA144" s="462"/>
      <c r="AB144" s="462"/>
      <c r="AC144" s="462"/>
      <c r="AD144" s="462"/>
      <c r="AE144" s="462"/>
      <c r="AF144" s="481"/>
      <c r="AG144" s="147" t="s">
        <v>182</v>
      </c>
      <c r="AH144" s="147" t="s">
        <v>106</v>
      </c>
      <c r="AI144" s="115" t="s">
        <v>107</v>
      </c>
      <c r="AJ144" s="116" t="s">
        <v>187</v>
      </c>
      <c r="AK144" s="147" t="s">
        <v>183</v>
      </c>
      <c r="AL144" s="147" t="s">
        <v>184</v>
      </c>
      <c r="AM144" s="147" t="s">
        <v>185</v>
      </c>
      <c r="AN144" s="185" t="s">
        <v>186</v>
      </c>
    </row>
    <row r="145" spans="1:40" ht="18.95" customHeight="1" x14ac:dyDescent="0.25">
      <c r="A145" s="41">
        <f>салаты!E35</f>
        <v>1.0488</v>
      </c>
      <c r="B145" s="41">
        <f>салаты!F35</f>
        <v>3.7086000000000006</v>
      </c>
      <c r="C145" s="41">
        <f>салаты!G35</f>
        <v>5.5469999999999997</v>
      </c>
      <c r="D145" s="41">
        <f>салаты!H35</f>
        <v>59.7</v>
      </c>
      <c r="E145" s="41">
        <f>салаты!M35</f>
        <v>9.5465999999999998</v>
      </c>
      <c r="F145" s="41">
        <f>салаты!O35</f>
        <v>11.231399999999999</v>
      </c>
      <c r="G145" s="41">
        <f>салаты!P35</f>
        <v>0.44819999999999999</v>
      </c>
      <c r="H145" s="41">
        <f>салаты!J35</f>
        <v>7.8258000000000001</v>
      </c>
      <c r="I145" s="147" t="s">
        <v>182</v>
      </c>
      <c r="J145" s="147" t="s">
        <v>106</v>
      </c>
      <c r="K145" s="115" t="s">
        <v>107</v>
      </c>
      <c r="L145" s="116" t="s">
        <v>187</v>
      </c>
      <c r="M145" s="147" t="s">
        <v>183</v>
      </c>
      <c r="N145" s="147" t="s">
        <v>184</v>
      </c>
      <c r="O145" s="147" t="s">
        <v>185</v>
      </c>
      <c r="P145" s="147" t="s">
        <v>186</v>
      </c>
      <c r="Y145" s="462"/>
      <c r="Z145" s="462"/>
      <c r="AA145" s="462"/>
      <c r="AB145" s="462"/>
      <c r="AC145" s="462"/>
      <c r="AD145" s="462"/>
      <c r="AE145" s="462"/>
      <c r="AF145" s="481"/>
      <c r="AG145" s="41">
        <f>салаты!E43</f>
        <v>0.65460000000000007</v>
      </c>
      <c r="AH145" s="41">
        <f>салаты!F43</f>
        <v>3.6497999999999999</v>
      </c>
      <c r="AI145" s="41">
        <f>салаты!G43</f>
        <v>6.7229999999999999</v>
      </c>
      <c r="AJ145" s="41">
        <f>салаты!H43</f>
        <v>62.34</v>
      </c>
      <c r="AK145" s="41">
        <f>салаты!M43</f>
        <v>17.5608</v>
      </c>
      <c r="AL145" s="41">
        <f>салаты!O43</f>
        <v>10.0992</v>
      </c>
      <c r="AM145" s="41">
        <f>салаты!P43</f>
        <v>0.88800000000000001</v>
      </c>
      <c r="AN145" s="41">
        <f>салаты!J43</f>
        <v>3.8640000000000003</v>
      </c>
    </row>
    <row r="146" spans="1:40" ht="18.95" customHeight="1" x14ac:dyDescent="0.25">
      <c r="I146" s="41">
        <f>салаты!E37</f>
        <v>1.5569999999999999</v>
      </c>
      <c r="J146" s="41">
        <f>салаты!F37</f>
        <v>4.4322000000000008</v>
      </c>
      <c r="K146" s="41">
        <f>салаты!G37</f>
        <v>1.9398</v>
      </c>
      <c r="L146" s="41">
        <f>салаты!H37</f>
        <v>53.88</v>
      </c>
      <c r="M146" s="41">
        <f>салаты!M37</f>
        <v>19.926600000000001</v>
      </c>
      <c r="N146" s="41">
        <f>салаты!O37</f>
        <v>9.0258000000000003</v>
      </c>
      <c r="O146" s="41">
        <f>салаты!P37</f>
        <v>0.51960000000000006</v>
      </c>
      <c r="P146" s="41">
        <f>салаты!J37</f>
        <v>10.374000000000001</v>
      </c>
      <c r="Q146" s="460" t="s">
        <v>181</v>
      </c>
      <c r="R146" s="459"/>
      <c r="S146" s="459"/>
      <c r="T146" s="459"/>
      <c r="U146" s="459"/>
      <c r="V146" s="459"/>
      <c r="W146" s="459"/>
      <c r="X146" s="459"/>
      <c r="Y146" s="119"/>
      <c r="Z146" s="119"/>
      <c r="AA146" s="119"/>
      <c r="AB146" s="119"/>
      <c r="AC146" s="119"/>
      <c r="AD146" s="119"/>
      <c r="AE146" s="119"/>
      <c r="AF146" s="119"/>
    </row>
    <row r="147" spans="1:40" ht="18.95" customHeight="1" x14ac:dyDescent="0.25">
      <c r="A147" s="462" t="s">
        <v>282</v>
      </c>
      <c r="B147" s="462"/>
      <c r="C147" s="462"/>
      <c r="D147" s="462"/>
      <c r="E147" s="462"/>
      <c r="F147" s="462"/>
      <c r="G147" s="462"/>
      <c r="H147" s="462"/>
      <c r="Q147" s="147" t="s">
        <v>182</v>
      </c>
      <c r="R147" s="147" t="s">
        <v>106</v>
      </c>
      <c r="S147" s="115" t="s">
        <v>107</v>
      </c>
      <c r="T147" s="116" t="s">
        <v>187</v>
      </c>
      <c r="U147" s="147" t="s">
        <v>183</v>
      </c>
      <c r="V147" s="147" t="s">
        <v>184</v>
      </c>
      <c r="W147" s="147" t="s">
        <v>185</v>
      </c>
      <c r="X147" s="185" t="s">
        <v>186</v>
      </c>
      <c r="Y147" s="454" t="s">
        <v>232</v>
      </c>
      <c r="Z147" s="454"/>
      <c r="AA147" s="454"/>
      <c r="AG147" s="462" t="s">
        <v>305</v>
      </c>
      <c r="AH147" s="462"/>
      <c r="AI147" s="462"/>
      <c r="AJ147" s="462"/>
      <c r="AK147" s="462"/>
      <c r="AL147" s="462"/>
      <c r="AM147" s="462"/>
      <c r="AN147" s="462"/>
    </row>
    <row r="148" spans="1:40" ht="18.95" customHeight="1" x14ac:dyDescent="0.25">
      <c r="A148" s="462"/>
      <c r="B148" s="462"/>
      <c r="C148" s="462"/>
      <c r="D148" s="462"/>
      <c r="E148" s="462"/>
      <c r="F148" s="462"/>
      <c r="G148" s="462"/>
      <c r="H148" s="462"/>
      <c r="I148" s="462" t="s">
        <v>289</v>
      </c>
      <c r="J148" s="462"/>
      <c r="K148" s="462"/>
      <c r="L148" s="462"/>
      <c r="M148" s="462"/>
      <c r="N148" s="462"/>
      <c r="O148" s="462"/>
      <c r="P148" s="462"/>
      <c r="Q148" s="41">
        <f>салаты!E39</f>
        <v>0.7871999999999999</v>
      </c>
      <c r="R148" s="41">
        <f>салаты!F39</f>
        <v>1.9494</v>
      </c>
      <c r="S148" s="41">
        <f>салаты!G39</f>
        <v>3.8795999999999999</v>
      </c>
      <c r="T148" s="41">
        <f>салаты!H39</f>
        <v>36.24</v>
      </c>
      <c r="U148" s="41">
        <f>салаты!M39</f>
        <v>14.9826</v>
      </c>
      <c r="V148" s="41">
        <f>салаты!O39</f>
        <v>9.0546000000000006</v>
      </c>
      <c r="W148" s="41">
        <f>салаты!P39</f>
        <v>0.27960000000000002</v>
      </c>
      <c r="X148" s="41">
        <f>салаты!J39</f>
        <v>10.258799999999999</v>
      </c>
      <c r="AG148" s="462"/>
      <c r="AH148" s="462"/>
      <c r="AI148" s="462"/>
      <c r="AJ148" s="462"/>
      <c r="AK148" s="462"/>
      <c r="AL148" s="462"/>
      <c r="AM148" s="462"/>
      <c r="AN148" s="462"/>
    </row>
    <row r="149" spans="1:40" ht="18.95" customHeight="1" x14ac:dyDescent="0.25">
      <c r="A149" s="462"/>
      <c r="B149" s="462"/>
      <c r="C149" s="462"/>
      <c r="D149" s="462"/>
      <c r="E149" s="462"/>
      <c r="F149" s="462"/>
      <c r="G149" s="462"/>
      <c r="H149" s="462"/>
      <c r="I149" s="462"/>
      <c r="J149" s="462"/>
      <c r="K149" s="462"/>
      <c r="L149" s="462"/>
      <c r="M149" s="462"/>
      <c r="N149" s="462"/>
      <c r="O149" s="462"/>
      <c r="P149" s="462"/>
      <c r="AG149" s="119"/>
      <c r="AH149" s="119"/>
      <c r="AI149" s="119"/>
      <c r="AJ149" s="119"/>
      <c r="AK149" s="119"/>
      <c r="AL149" s="119"/>
      <c r="AM149" s="119"/>
      <c r="AN149" s="119"/>
    </row>
    <row r="150" spans="1:40" ht="18.95" customHeight="1" x14ac:dyDescent="0.25">
      <c r="Q150" s="462" t="s">
        <v>298</v>
      </c>
      <c r="R150" s="462"/>
      <c r="S150" s="462"/>
      <c r="T150" s="462"/>
      <c r="U150" s="462"/>
      <c r="V150" s="462"/>
      <c r="W150" s="462"/>
      <c r="X150" s="462"/>
      <c r="AG150" s="454" t="s">
        <v>232</v>
      </c>
      <c r="AH150" s="454"/>
      <c r="AI150" s="454"/>
    </row>
    <row r="151" spans="1:40" ht="18.95" customHeight="1" x14ac:dyDescent="0.25">
      <c r="A151" s="454" t="s">
        <v>232</v>
      </c>
      <c r="B151" s="454"/>
      <c r="C151" s="454"/>
      <c r="I151" s="454" t="s">
        <v>232</v>
      </c>
      <c r="J151" s="454"/>
      <c r="K151" s="454"/>
      <c r="Q151" s="462"/>
      <c r="R151" s="462"/>
      <c r="S151" s="462"/>
      <c r="T151" s="462"/>
      <c r="U151" s="462"/>
      <c r="V151" s="462"/>
      <c r="W151" s="462"/>
      <c r="X151" s="462"/>
    </row>
    <row r="152" spans="1:40" ht="18.95" customHeight="1" x14ac:dyDescent="0.25">
      <c r="Q152" s="462"/>
      <c r="R152" s="462"/>
      <c r="S152" s="462"/>
      <c r="T152" s="462"/>
      <c r="U152" s="462"/>
      <c r="V152" s="462"/>
      <c r="W152" s="462"/>
      <c r="X152" s="462"/>
    </row>
    <row r="153" spans="1:40" ht="18.95" customHeight="1" x14ac:dyDescent="0.25"/>
    <row r="154" spans="1:40" ht="18.95" customHeight="1" x14ac:dyDescent="0.25">
      <c r="Q154" s="454" t="s">
        <v>232</v>
      </c>
      <c r="R154" s="454"/>
      <c r="S154" s="454"/>
    </row>
    <row r="155" spans="1:40" ht="18.95" customHeight="1" x14ac:dyDescent="0.25"/>
    <row r="156" spans="1:40" ht="18.95" customHeight="1" x14ac:dyDescent="0.25"/>
    <row r="157" spans="1:40" ht="18.95" customHeight="1" x14ac:dyDescent="0.25"/>
    <row r="158" spans="1:40" ht="18.95" customHeight="1" x14ac:dyDescent="0.25"/>
    <row r="159" spans="1:40" ht="18.95" customHeight="1" x14ac:dyDescent="0.25"/>
    <row r="160" spans="1:40" ht="18.95" customHeight="1" x14ac:dyDescent="0.25"/>
    <row r="161" spans="1:40" ht="18.95" customHeight="1" x14ac:dyDescent="0.25"/>
    <row r="162" spans="1:40" ht="18.95" customHeight="1" x14ac:dyDescent="0.25"/>
    <row r="163" spans="1:40" ht="18.95" customHeight="1" x14ac:dyDescent="0.25"/>
    <row r="164" spans="1:40" ht="18.95" customHeight="1" x14ac:dyDescent="0.25"/>
    <row r="165" spans="1:40" x14ac:dyDescent="0.25">
      <c r="A165" s="472" t="s">
        <v>214</v>
      </c>
      <c r="B165" s="472"/>
      <c r="C165" s="167"/>
      <c r="D165" s="167"/>
      <c r="E165" s="167"/>
      <c r="F165" s="472" t="s">
        <v>215</v>
      </c>
      <c r="G165" s="472"/>
      <c r="H165" s="472"/>
      <c r="I165" s="472" t="s">
        <v>214</v>
      </c>
      <c r="J165" s="472"/>
      <c r="K165" s="167"/>
      <c r="L165" s="167"/>
      <c r="M165" s="167"/>
      <c r="N165" s="472" t="s">
        <v>215</v>
      </c>
      <c r="O165" s="472"/>
      <c r="P165" s="472"/>
      <c r="Q165" s="472" t="s">
        <v>214</v>
      </c>
      <c r="R165" s="472"/>
      <c r="S165" s="167"/>
      <c r="T165" s="167"/>
      <c r="U165" s="167"/>
      <c r="V165" s="472" t="s">
        <v>215</v>
      </c>
      <c r="W165" s="472"/>
      <c r="X165" s="472"/>
      <c r="Y165" s="472" t="s">
        <v>214</v>
      </c>
      <c r="Z165" s="472"/>
      <c r="AA165" s="167"/>
      <c r="AB165" s="167"/>
      <c r="AC165" s="167"/>
      <c r="AD165" s="472" t="s">
        <v>215</v>
      </c>
      <c r="AE165" s="472"/>
      <c r="AF165" s="472"/>
      <c r="AG165" s="472" t="s">
        <v>214</v>
      </c>
      <c r="AH165" s="472"/>
      <c r="AI165" s="167"/>
      <c r="AJ165" s="167"/>
      <c r="AK165" s="167"/>
      <c r="AL165" s="472" t="s">
        <v>215</v>
      </c>
      <c r="AM165" s="472"/>
      <c r="AN165" s="472"/>
    </row>
    <row r="166" spans="1:40" x14ac:dyDescent="0.25">
      <c r="E166" s="454" t="s">
        <v>216</v>
      </c>
      <c r="F166" s="454"/>
      <c r="G166" s="454"/>
      <c r="H166" s="454"/>
      <c r="M166" s="454" t="s">
        <v>216</v>
      </c>
      <c r="N166" s="454"/>
      <c r="O166" s="454"/>
      <c r="P166" s="454"/>
      <c r="U166" s="454" t="s">
        <v>216</v>
      </c>
      <c r="V166" s="454"/>
      <c r="W166" s="454"/>
      <c r="X166" s="454"/>
      <c r="AC166" s="454" t="s">
        <v>216</v>
      </c>
      <c r="AD166" s="454"/>
      <c r="AE166" s="454"/>
      <c r="AF166" s="454"/>
      <c r="AK166" s="454" t="s">
        <v>216</v>
      </c>
      <c r="AL166" s="454"/>
      <c r="AM166" s="454"/>
      <c r="AN166" s="454"/>
    </row>
    <row r="167" spans="1:40" x14ac:dyDescent="0.25">
      <c r="E167" s="150"/>
      <c r="F167" s="150"/>
      <c r="G167" s="150"/>
      <c r="H167" s="150"/>
    </row>
    <row r="168" spans="1:40" ht="18.95" customHeight="1" x14ac:dyDescent="0.25">
      <c r="A168" s="414" t="s">
        <v>306</v>
      </c>
      <c r="B168" s="414"/>
      <c r="C168" s="414"/>
      <c r="D168" s="414"/>
      <c r="E168" s="414"/>
      <c r="F168" s="414"/>
      <c r="G168" s="414"/>
      <c r="H168" s="414"/>
      <c r="I168" s="414" t="s">
        <v>307</v>
      </c>
      <c r="J168" s="414"/>
      <c r="K168" s="414"/>
      <c r="L168" s="414"/>
      <c r="M168" s="414"/>
      <c r="N168" s="414"/>
      <c r="O168" s="414"/>
      <c r="P168" s="414"/>
      <c r="Q168" s="414" t="s">
        <v>308</v>
      </c>
      <c r="R168" s="414"/>
      <c r="S168" s="414"/>
      <c r="T168" s="414"/>
      <c r="U168" s="414"/>
      <c r="V168" s="414"/>
      <c r="W168" s="414"/>
      <c r="X168" s="414"/>
      <c r="Y168" s="414" t="s">
        <v>309</v>
      </c>
      <c r="Z168" s="414"/>
      <c r="AA168" s="414"/>
      <c r="AB168" s="414"/>
      <c r="AC168" s="414"/>
      <c r="AD168" s="414"/>
      <c r="AE168" s="414"/>
      <c r="AF168" s="414"/>
      <c r="AG168" s="414" t="s">
        <v>310</v>
      </c>
      <c r="AH168" s="414"/>
      <c r="AI168" s="414"/>
      <c r="AJ168" s="414"/>
      <c r="AK168" s="414"/>
      <c r="AL168" s="414"/>
      <c r="AM168" s="414"/>
      <c r="AN168" s="414"/>
    </row>
    <row r="169" spans="1:40" ht="18.95" customHeight="1" x14ac:dyDescent="0.25">
      <c r="A169" s="462" t="s">
        <v>686</v>
      </c>
      <c r="B169" s="482"/>
      <c r="C169" s="482"/>
      <c r="D169" s="482"/>
      <c r="E169" s="482"/>
      <c r="F169" s="482"/>
      <c r="G169" s="482"/>
      <c r="H169" s="482"/>
      <c r="I169" s="473" t="s">
        <v>314</v>
      </c>
      <c r="J169" s="465"/>
      <c r="K169" s="465"/>
      <c r="L169" s="465"/>
      <c r="M169" s="465"/>
      <c r="N169" s="465"/>
      <c r="O169" s="465"/>
      <c r="P169" s="465"/>
      <c r="Q169" s="473" t="s">
        <v>899</v>
      </c>
      <c r="R169" s="465"/>
      <c r="S169" s="465"/>
      <c r="T169" s="465"/>
      <c r="U169" s="465"/>
      <c r="V169" s="465"/>
      <c r="W169" s="465"/>
      <c r="X169" s="465"/>
      <c r="Y169" s="473" t="s">
        <v>323</v>
      </c>
      <c r="Z169" s="465"/>
      <c r="AA169" s="465"/>
      <c r="AB169" s="465"/>
      <c r="AC169" s="465"/>
      <c r="AD169" s="465"/>
      <c r="AE169" s="465"/>
      <c r="AF169" s="465"/>
      <c r="AG169" s="473" t="s">
        <v>329</v>
      </c>
      <c r="AH169" s="465"/>
      <c r="AI169" s="465"/>
      <c r="AJ169" s="465"/>
      <c r="AK169" s="465"/>
      <c r="AL169" s="465"/>
      <c r="AM169" s="465"/>
      <c r="AN169" s="465"/>
    </row>
    <row r="170" spans="1:40" ht="18.95" customHeight="1" x14ac:dyDescent="0.25">
      <c r="A170" s="473" t="s">
        <v>311</v>
      </c>
      <c r="B170" s="473"/>
      <c r="C170" s="473"/>
      <c r="D170" s="473"/>
      <c r="E170" s="473"/>
      <c r="F170" s="473"/>
      <c r="G170" s="473"/>
      <c r="H170" s="473"/>
      <c r="I170" s="473" t="s">
        <v>313</v>
      </c>
      <c r="J170" s="473"/>
      <c r="K170" s="473"/>
      <c r="L170" s="473"/>
      <c r="M170" s="473"/>
      <c r="N170" s="473"/>
      <c r="O170" s="473"/>
      <c r="P170" s="473"/>
      <c r="Q170" s="473" t="s">
        <v>319</v>
      </c>
      <c r="R170" s="473"/>
      <c r="S170" s="473"/>
      <c r="T170" s="473"/>
      <c r="U170" s="473"/>
      <c r="V170" s="473"/>
      <c r="W170" s="473"/>
      <c r="X170" s="473"/>
      <c r="Y170" s="473" t="s">
        <v>322</v>
      </c>
      <c r="Z170" s="473"/>
      <c r="AA170" s="473"/>
      <c r="AB170" s="473"/>
      <c r="AC170" s="473"/>
      <c r="AD170" s="473"/>
      <c r="AE170" s="473"/>
      <c r="AF170" s="473"/>
      <c r="AG170" s="473" t="s">
        <v>328</v>
      </c>
      <c r="AH170" s="473"/>
      <c r="AI170" s="473"/>
      <c r="AJ170" s="473"/>
      <c r="AK170" s="473"/>
      <c r="AL170" s="473"/>
      <c r="AM170" s="473"/>
      <c r="AN170" s="473"/>
    </row>
    <row r="171" spans="1:40" ht="18.95" customHeight="1" x14ac:dyDescent="0.25">
      <c r="A171" s="465" t="s">
        <v>189</v>
      </c>
      <c r="B171" s="465"/>
      <c r="C171" s="465"/>
      <c r="D171" s="465"/>
      <c r="E171" s="465"/>
      <c r="F171" s="465"/>
      <c r="G171" s="465"/>
      <c r="H171" s="465"/>
      <c r="I171" s="465" t="s">
        <v>189</v>
      </c>
      <c r="J171" s="465"/>
      <c r="K171" s="465"/>
      <c r="L171" s="465"/>
      <c r="M171" s="465"/>
      <c r="N171" s="465"/>
      <c r="O171" s="465"/>
      <c r="P171" s="465"/>
      <c r="Q171" s="465" t="s">
        <v>189</v>
      </c>
      <c r="R171" s="465"/>
      <c r="S171" s="465"/>
      <c r="T171" s="465"/>
      <c r="U171" s="465"/>
      <c r="V171" s="465"/>
      <c r="W171" s="465"/>
      <c r="X171" s="465"/>
      <c r="Y171" s="465" t="s">
        <v>189</v>
      </c>
      <c r="Z171" s="465"/>
      <c r="AA171" s="465"/>
      <c r="AB171" s="465"/>
      <c r="AC171" s="465"/>
      <c r="AD171" s="465"/>
      <c r="AE171" s="465"/>
      <c r="AF171" s="465"/>
      <c r="AG171" s="465" t="s">
        <v>189</v>
      </c>
      <c r="AH171" s="465"/>
      <c r="AI171" s="465"/>
      <c r="AJ171" s="465"/>
      <c r="AK171" s="465"/>
      <c r="AL171" s="465"/>
      <c r="AM171" s="465"/>
      <c r="AN171" s="465"/>
    </row>
    <row r="172" spans="1:40" ht="18.95" customHeight="1" x14ac:dyDescent="0.25">
      <c r="A172" s="465" t="s">
        <v>190</v>
      </c>
      <c r="B172" s="465"/>
      <c r="C172" s="465"/>
      <c r="D172" s="465"/>
      <c r="E172" s="465"/>
      <c r="F172" s="465"/>
      <c r="G172" s="465"/>
      <c r="H172" s="465"/>
      <c r="I172" s="465" t="s">
        <v>190</v>
      </c>
      <c r="J172" s="465"/>
      <c r="K172" s="465"/>
      <c r="L172" s="465"/>
      <c r="M172" s="465"/>
      <c r="N172" s="465"/>
      <c r="O172" s="465"/>
      <c r="P172" s="465"/>
      <c r="Q172" s="465" t="s">
        <v>190</v>
      </c>
      <c r="R172" s="465"/>
      <c r="S172" s="465"/>
      <c r="T172" s="465"/>
      <c r="U172" s="465"/>
      <c r="V172" s="465"/>
      <c r="W172" s="465"/>
      <c r="X172" s="465"/>
      <c r="Y172" s="465" t="s">
        <v>190</v>
      </c>
      <c r="Z172" s="465"/>
      <c r="AA172" s="465"/>
      <c r="AB172" s="465"/>
      <c r="AC172" s="465"/>
      <c r="AD172" s="465"/>
      <c r="AE172" s="465"/>
      <c r="AF172" s="465"/>
      <c r="AG172" s="465" t="s">
        <v>190</v>
      </c>
      <c r="AH172" s="465"/>
      <c r="AI172" s="465"/>
      <c r="AJ172" s="465"/>
      <c r="AK172" s="465"/>
      <c r="AL172" s="465"/>
      <c r="AM172" s="465"/>
      <c r="AN172" s="465"/>
    </row>
    <row r="173" spans="1:40" ht="18.95" customHeight="1" x14ac:dyDescent="0.25">
      <c r="C173" s="148"/>
      <c r="K173" s="148"/>
      <c r="S173" s="148"/>
      <c r="AA173" s="148"/>
      <c r="AI173" s="148"/>
    </row>
    <row r="174" spans="1:40" ht="18.95" customHeight="1" x14ac:dyDescent="0.25">
      <c r="B174" s="466" t="s">
        <v>174</v>
      </c>
      <c r="C174" s="467"/>
      <c r="D174" s="412" t="s">
        <v>179</v>
      </c>
      <c r="E174" s="412"/>
      <c r="F174" s="412"/>
      <c r="G174" s="412"/>
      <c r="J174" s="466" t="s">
        <v>174</v>
      </c>
      <c r="K174" s="467"/>
      <c r="L174" s="412" t="s">
        <v>179</v>
      </c>
      <c r="M174" s="412"/>
      <c r="N174" s="412"/>
      <c r="O174" s="412"/>
      <c r="R174" s="466" t="s">
        <v>174</v>
      </c>
      <c r="S174" s="467"/>
      <c r="T174" s="412" t="s">
        <v>179</v>
      </c>
      <c r="U174" s="412"/>
      <c r="V174" s="412"/>
      <c r="W174" s="412"/>
      <c r="Z174" s="466" t="s">
        <v>174</v>
      </c>
      <c r="AA174" s="467"/>
      <c r="AB174" s="412" t="s">
        <v>179</v>
      </c>
      <c r="AC174" s="412"/>
      <c r="AD174" s="412"/>
      <c r="AE174" s="412"/>
      <c r="AH174" s="466" t="s">
        <v>174</v>
      </c>
      <c r="AI174" s="467"/>
      <c r="AJ174" s="412" t="s">
        <v>179</v>
      </c>
      <c r="AK174" s="412"/>
      <c r="AL174" s="412"/>
      <c r="AM174" s="412"/>
    </row>
    <row r="175" spans="1:40" ht="18.95" customHeight="1" x14ac:dyDescent="0.25">
      <c r="B175" s="468"/>
      <c r="C175" s="469"/>
      <c r="D175" s="412" t="s">
        <v>177</v>
      </c>
      <c r="E175" s="412"/>
      <c r="F175" s="412" t="s">
        <v>178</v>
      </c>
      <c r="G175" s="412"/>
      <c r="J175" s="468"/>
      <c r="K175" s="469"/>
      <c r="L175" s="412" t="s">
        <v>177</v>
      </c>
      <c r="M175" s="412"/>
      <c r="N175" s="412" t="s">
        <v>178</v>
      </c>
      <c r="O175" s="412"/>
      <c r="R175" s="468"/>
      <c r="S175" s="469"/>
      <c r="T175" s="412" t="s">
        <v>177</v>
      </c>
      <c r="U175" s="412"/>
      <c r="V175" s="412" t="s">
        <v>178</v>
      </c>
      <c r="W175" s="412"/>
      <c r="Z175" s="468"/>
      <c r="AA175" s="469"/>
      <c r="AB175" s="412" t="s">
        <v>177</v>
      </c>
      <c r="AC175" s="412"/>
      <c r="AD175" s="412" t="s">
        <v>178</v>
      </c>
      <c r="AE175" s="412"/>
      <c r="AH175" s="468"/>
      <c r="AI175" s="469"/>
      <c r="AJ175" s="412" t="s">
        <v>177</v>
      </c>
      <c r="AK175" s="412"/>
      <c r="AL175" s="412" t="s">
        <v>178</v>
      </c>
      <c r="AM175" s="412"/>
    </row>
    <row r="176" spans="1:40" ht="18.95" customHeight="1" x14ac:dyDescent="0.25">
      <c r="B176" s="470"/>
      <c r="C176" s="471"/>
      <c r="D176" s="147" t="s">
        <v>175</v>
      </c>
      <c r="E176" s="147" t="s">
        <v>176</v>
      </c>
      <c r="F176" s="147" t="s">
        <v>175</v>
      </c>
      <c r="G176" s="147" t="s">
        <v>176</v>
      </c>
      <c r="J176" s="470"/>
      <c r="K176" s="471"/>
      <c r="L176" s="147" t="s">
        <v>175</v>
      </c>
      <c r="M176" s="147" t="s">
        <v>176</v>
      </c>
      <c r="N176" s="147" t="s">
        <v>175</v>
      </c>
      <c r="O176" s="147" t="s">
        <v>176</v>
      </c>
      <c r="R176" s="470"/>
      <c r="S176" s="471"/>
      <c r="T176" s="147" t="s">
        <v>175</v>
      </c>
      <c r="U176" s="147" t="s">
        <v>176</v>
      </c>
      <c r="V176" s="147" t="s">
        <v>175</v>
      </c>
      <c r="W176" s="147" t="s">
        <v>176</v>
      </c>
      <c r="Z176" s="470"/>
      <c r="AA176" s="471"/>
      <c r="AB176" s="147" t="s">
        <v>175</v>
      </c>
      <c r="AC176" s="147" t="s">
        <v>176</v>
      </c>
      <c r="AD176" s="147" t="s">
        <v>175</v>
      </c>
      <c r="AE176" s="147" t="s">
        <v>176</v>
      </c>
      <c r="AH176" s="470"/>
      <c r="AI176" s="471"/>
      <c r="AJ176" s="147" t="s">
        <v>175</v>
      </c>
      <c r="AK176" s="147" t="s">
        <v>176</v>
      </c>
      <c r="AL176" s="147" t="s">
        <v>175</v>
      </c>
      <c r="AM176" s="147" t="s">
        <v>176</v>
      </c>
    </row>
    <row r="177" spans="1:40" ht="18.95" customHeight="1" x14ac:dyDescent="0.25">
      <c r="B177" s="455" t="s">
        <v>301</v>
      </c>
      <c r="C177" s="456"/>
      <c r="D177" s="106">
        <v>50.4</v>
      </c>
      <c r="E177" s="106">
        <f>600*салаты!B45/1000</f>
        <v>36</v>
      </c>
      <c r="F177" s="106">
        <f t="shared" ref="F177:G181" si="3">D177*100</f>
        <v>5040</v>
      </c>
      <c r="G177" s="106">
        <f t="shared" si="3"/>
        <v>3600</v>
      </c>
      <c r="J177" s="455" t="s">
        <v>301</v>
      </c>
      <c r="K177" s="456"/>
      <c r="L177" s="106">
        <f>N177*салаты!B47/O182</f>
        <v>21.6</v>
      </c>
      <c r="M177" s="106">
        <f>O177*салаты!B47/O182</f>
        <v>17</v>
      </c>
      <c r="N177" s="106">
        <f>216</f>
        <v>216</v>
      </c>
      <c r="O177" s="106">
        <v>170</v>
      </c>
      <c r="R177" s="455" t="s">
        <v>246</v>
      </c>
      <c r="S177" s="456"/>
      <c r="T177" s="106">
        <f>V177*салаты!B49/W180</f>
        <v>120</v>
      </c>
      <c r="U177" s="106">
        <f>W177*салаты!B49/W180</f>
        <v>96</v>
      </c>
      <c r="V177" s="106">
        <v>1200</v>
      </c>
      <c r="W177" s="106">
        <v>960</v>
      </c>
      <c r="Z177" s="455" t="s">
        <v>246</v>
      </c>
      <c r="AA177" s="456"/>
      <c r="AB177" s="106">
        <f>AD177*салаты!B51/AE180</f>
        <v>116.8</v>
      </c>
      <c r="AC177" s="106" t="s">
        <v>326</v>
      </c>
      <c r="AD177" s="106">
        <v>1168</v>
      </c>
      <c r="AE177" s="106" t="s">
        <v>325</v>
      </c>
      <c r="AH177" s="455" t="s">
        <v>246</v>
      </c>
      <c r="AI177" s="456"/>
      <c r="AJ177" s="106">
        <f>AL177*салаты!B53/AM181</f>
        <v>100</v>
      </c>
      <c r="AK177" s="106">
        <f>AM177*салаты!B53/AM181</f>
        <v>75</v>
      </c>
      <c r="AL177" s="106">
        <v>1000</v>
      </c>
      <c r="AM177" s="106">
        <v>750</v>
      </c>
    </row>
    <row r="178" spans="1:40" ht="18.95" customHeight="1" x14ac:dyDescent="0.25">
      <c r="B178" s="463" t="s">
        <v>273</v>
      </c>
      <c r="C178" s="464"/>
      <c r="D178" s="106">
        <f>154*салаты!B45/1000</f>
        <v>9.24</v>
      </c>
      <c r="E178" s="106">
        <f>100*салаты!B45/1000</f>
        <v>6</v>
      </c>
      <c r="F178" s="106">
        <f t="shared" si="3"/>
        <v>924</v>
      </c>
      <c r="G178" s="106">
        <f t="shared" si="3"/>
        <v>600</v>
      </c>
      <c r="J178" s="455" t="s">
        <v>246</v>
      </c>
      <c r="K178" s="456"/>
      <c r="L178" s="106">
        <f>N178*салаты!B47/O182</f>
        <v>16.3</v>
      </c>
      <c r="M178" s="106">
        <f>O178*салаты!B47/O182</f>
        <v>13</v>
      </c>
      <c r="N178" s="106">
        <v>163</v>
      </c>
      <c r="O178" s="106">
        <v>130</v>
      </c>
      <c r="R178" s="455" t="s">
        <v>297</v>
      </c>
      <c r="S178" s="456"/>
      <c r="T178" s="106">
        <f>V178*салаты!B49/W180</f>
        <v>5</v>
      </c>
      <c r="U178" s="106">
        <f>W178*салаты!B49/W180</f>
        <v>5</v>
      </c>
      <c r="V178" s="106">
        <v>50</v>
      </c>
      <c r="W178" s="106">
        <v>50</v>
      </c>
      <c r="Z178" s="455" t="s">
        <v>324</v>
      </c>
      <c r="AA178" s="456"/>
      <c r="AB178" s="106">
        <f>AD178*салаты!B51/AE180</f>
        <v>6.7</v>
      </c>
      <c r="AC178" s="106">
        <f>AE178*салаты!B51/AE180</f>
        <v>10</v>
      </c>
      <c r="AD178" s="106">
        <v>67</v>
      </c>
      <c r="AE178" s="106">
        <v>100</v>
      </c>
      <c r="AH178" s="484" t="s">
        <v>330</v>
      </c>
      <c r="AI178" s="485"/>
      <c r="AJ178" s="106">
        <f>AL178*салаты!B53/AM181</f>
        <v>11</v>
      </c>
      <c r="AK178" s="106">
        <f>AM178*салаты!B53/AM181</f>
        <v>11</v>
      </c>
      <c r="AL178" s="106">
        <v>110</v>
      </c>
      <c r="AM178" s="106">
        <v>110</v>
      </c>
    </row>
    <row r="179" spans="1:40" ht="18.95" customHeight="1" x14ac:dyDescent="0.25">
      <c r="B179" s="455" t="s">
        <v>210</v>
      </c>
      <c r="C179" s="456"/>
      <c r="D179" s="106">
        <f>250*салаты!B45/1000</f>
        <v>15</v>
      </c>
      <c r="E179" s="106">
        <f>200*салаты!B45/1000</f>
        <v>12</v>
      </c>
      <c r="F179" s="106">
        <f t="shared" si="3"/>
        <v>1500</v>
      </c>
      <c r="G179" s="106">
        <f t="shared" si="3"/>
        <v>1200</v>
      </c>
      <c r="J179" s="455" t="s">
        <v>315</v>
      </c>
      <c r="K179" s="456"/>
      <c r="L179" s="106">
        <f>N179*салаты!B47/O182</f>
        <v>37.5</v>
      </c>
      <c r="M179" s="106">
        <f>O179*салаты!B47/O182</f>
        <v>30</v>
      </c>
      <c r="N179" s="106">
        <v>375</v>
      </c>
      <c r="O179" s="106">
        <v>300</v>
      </c>
      <c r="R179" s="455" t="s">
        <v>320</v>
      </c>
      <c r="S179" s="456"/>
      <c r="T179" s="106">
        <f>V179*салаты!B49/W180</f>
        <v>5</v>
      </c>
      <c r="U179" s="106">
        <f>W179*салаты!B49/W180</f>
        <v>5</v>
      </c>
      <c r="V179" s="106">
        <v>50</v>
      </c>
      <c r="W179" s="106">
        <v>50</v>
      </c>
      <c r="Z179" s="455" t="s">
        <v>297</v>
      </c>
      <c r="AA179" s="456"/>
      <c r="AB179" s="106">
        <f>AD179*салаты!B51/AE180</f>
        <v>5</v>
      </c>
      <c r="AC179" s="106">
        <f>AE179*салаты!B51/AE180</f>
        <v>5</v>
      </c>
      <c r="AD179" s="106">
        <v>50</v>
      </c>
      <c r="AE179" s="106">
        <v>50</v>
      </c>
      <c r="AH179" s="455" t="s">
        <v>297</v>
      </c>
      <c r="AI179" s="456"/>
      <c r="AJ179" s="106">
        <f>AL179*салаты!B53/AM181</f>
        <v>10</v>
      </c>
      <c r="AK179" s="106">
        <f>AM179*салаты!B53/AM181</f>
        <v>10</v>
      </c>
      <c r="AL179" s="106">
        <v>100</v>
      </c>
      <c r="AM179" s="106">
        <v>100</v>
      </c>
    </row>
    <row r="180" spans="1:40" ht="18.95" customHeight="1" x14ac:dyDescent="0.25">
      <c r="B180" s="455" t="s">
        <v>211</v>
      </c>
      <c r="C180" s="456"/>
      <c r="D180" s="106">
        <f>60*салаты!B45/1000</f>
        <v>3.6</v>
      </c>
      <c r="E180" s="106">
        <f>50*салаты!B45/1000</f>
        <v>3</v>
      </c>
      <c r="F180" s="106">
        <f t="shared" si="3"/>
        <v>360</v>
      </c>
      <c r="G180" s="106">
        <f t="shared" si="3"/>
        <v>300</v>
      </c>
      <c r="J180" s="455" t="s">
        <v>316</v>
      </c>
      <c r="K180" s="456"/>
      <c r="L180" s="106">
        <f>N180*салаты!B47/O182</f>
        <v>47.1</v>
      </c>
      <c r="M180" s="106">
        <f>O180*салаты!B47/O182</f>
        <v>33</v>
      </c>
      <c r="N180" s="106">
        <v>471</v>
      </c>
      <c r="O180" s="106">
        <v>330</v>
      </c>
      <c r="R180" s="457" t="s">
        <v>180</v>
      </c>
      <c r="S180" s="458"/>
      <c r="T180" s="118"/>
      <c r="U180" s="106">
        <f>W180*салаты!B49/W180</f>
        <v>100</v>
      </c>
      <c r="V180" s="106"/>
      <c r="W180" s="106">
        <v>1000</v>
      </c>
      <c r="Z180" s="120" t="s">
        <v>180</v>
      </c>
      <c r="AA180" s="121"/>
      <c r="AB180" s="118"/>
      <c r="AC180" s="106">
        <f>AE180*салаты!B51/AE180</f>
        <v>100</v>
      </c>
      <c r="AD180" s="106"/>
      <c r="AE180" s="106">
        <v>1000</v>
      </c>
      <c r="AH180" s="455" t="s">
        <v>331</v>
      </c>
      <c r="AI180" s="456"/>
      <c r="AJ180" s="106">
        <f>AL180*салаты!B53/AM181</f>
        <v>11.9</v>
      </c>
      <c r="AK180" s="106">
        <f>AM180*салаты!B53/AM181</f>
        <v>5</v>
      </c>
      <c r="AL180" s="106">
        <v>119</v>
      </c>
      <c r="AM180" s="106">
        <v>50</v>
      </c>
    </row>
    <row r="181" spans="1:40" ht="18.95" customHeight="1" x14ac:dyDescent="0.25">
      <c r="B181" s="455" t="s">
        <v>207</v>
      </c>
      <c r="C181" s="456"/>
      <c r="D181" s="106">
        <f>60*салаты!B45/1000</f>
        <v>3.6</v>
      </c>
      <c r="E181" s="106">
        <f>60*салаты!B45/1000</f>
        <v>3.6</v>
      </c>
      <c r="F181" s="106">
        <f t="shared" si="3"/>
        <v>360</v>
      </c>
      <c r="G181" s="106">
        <f t="shared" si="3"/>
        <v>360</v>
      </c>
      <c r="J181" s="455" t="s">
        <v>317</v>
      </c>
      <c r="K181" s="456"/>
      <c r="L181" s="106">
        <f>N181*салаты!B47/O182</f>
        <v>19.8</v>
      </c>
      <c r="M181" s="106">
        <f>O181*салаты!B47/O182</f>
        <v>8.3000000000000007</v>
      </c>
      <c r="N181" s="106">
        <v>198</v>
      </c>
      <c r="O181" s="106">
        <v>83</v>
      </c>
      <c r="AH181" s="457" t="s">
        <v>180</v>
      </c>
      <c r="AI181" s="458"/>
      <c r="AJ181" s="118"/>
      <c r="AK181" s="106">
        <f>AM181*салаты!B53/AM181</f>
        <v>100</v>
      </c>
      <c r="AL181" s="106"/>
      <c r="AM181" s="106">
        <v>1000</v>
      </c>
    </row>
    <row r="182" spans="1:40" ht="18.95" customHeight="1" x14ac:dyDescent="0.25">
      <c r="B182" s="457" t="s">
        <v>180</v>
      </c>
      <c r="C182" s="458"/>
      <c r="D182" s="118"/>
      <c r="E182" s="106">
        <f>салаты!B45</f>
        <v>60</v>
      </c>
      <c r="F182" s="106"/>
      <c r="G182" s="106">
        <f>E182*100</f>
        <v>6000</v>
      </c>
      <c r="J182" s="457" t="s">
        <v>180</v>
      </c>
      <c r="K182" s="458"/>
      <c r="L182" s="118"/>
      <c r="M182" s="106">
        <f>O182*салаты!B47/O182</f>
        <v>100</v>
      </c>
      <c r="N182" s="118"/>
      <c r="O182" s="106">
        <v>1000</v>
      </c>
      <c r="Q182" s="459" t="s">
        <v>181</v>
      </c>
      <c r="R182" s="459"/>
      <c r="S182" s="459"/>
      <c r="T182" s="459"/>
      <c r="U182" s="459"/>
      <c r="V182" s="459"/>
      <c r="W182" s="459"/>
      <c r="X182" s="459"/>
      <c r="Y182" s="459" t="s">
        <v>181</v>
      </c>
      <c r="Z182" s="459"/>
      <c r="AA182" s="459"/>
      <c r="AB182" s="459"/>
      <c r="AC182" s="459"/>
      <c r="AD182" s="459"/>
      <c r="AE182" s="459"/>
      <c r="AF182" s="459"/>
    </row>
    <row r="183" spans="1:40" ht="18.95" customHeight="1" x14ac:dyDescent="0.25">
      <c r="Q183" s="147" t="s">
        <v>182</v>
      </c>
      <c r="R183" s="147" t="s">
        <v>106</v>
      </c>
      <c r="S183" s="115" t="s">
        <v>107</v>
      </c>
      <c r="T183" s="116" t="s">
        <v>187</v>
      </c>
      <c r="U183" s="147" t="s">
        <v>183</v>
      </c>
      <c r="V183" s="147" t="s">
        <v>184</v>
      </c>
      <c r="W183" s="147" t="s">
        <v>185</v>
      </c>
      <c r="X183" s="149" t="s">
        <v>186</v>
      </c>
      <c r="Y183" s="147" t="s">
        <v>182</v>
      </c>
      <c r="Z183" s="147" t="s">
        <v>106</v>
      </c>
      <c r="AA183" s="115" t="s">
        <v>107</v>
      </c>
      <c r="AB183" s="116" t="s">
        <v>187</v>
      </c>
      <c r="AC183" s="147" t="s">
        <v>183</v>
      </c>
      <c r="AD183" s="147" t="s">
        <v>184</v>
      </c>
      <c r="AE183" s="147" t="s">
        <v>185</v>
      </c>
      <c r="AF183" s="147" t="s">
        <v>186</v>
      </c>
      <c r="AG183" s="460" t="s">
        <v>181</v>
      </c>
      <c r="AH183" s="459"/>
      <c r="AI183" s="459"/>
      <c r="AJ183" s="459"/>
      <c r="AK183" s="459"/>
      <c r="AL183" s="459"/>
      <c r="AM183" s="459"/>
      <c r="AN183" s="459"/>
    </row>
    <row r="184" spans="1:40" ht="18.95" customHeight="1" x14ac:dyDescent="0.25">
      <c r="A184" s="459" t="s">
        <v>181</v>
      </c>
      <c r="B184" s="459"/>
      <c r="C184" s="459"/>
      <c r="D184" s="459"/>
      <c r="E184" s="459"/>
      <c r="F184" s="459"/>
      <c r="G184" s="459"/>
      <c r="H184" s="459"/>
      <c r="I184" s="459" t="s">
        <v>181</v>
      </c>
      <c r="J184" s="459"/>
      <c r="K184" s="459"/>
      <c r="L184" s="459"/>
      <c r="M184" s="459"/>
      <c r="N184" s="459"/>
      <c r="O184" s="459"/>
      <c r="P184" s="459"/>
      <c r="Q184" s="41">
        <f>салаты!E49</f>
        <v>1.2330000000000001</v>
      </c>
      <c r="R184" s="41">
        <f>салаты!F49</f>
        <v>9.4E-2</v>
      </c>
      <c r="S184" s="41">
        <f>салаты!G49</f>
        <v>11.476000000000001</v>
      </c>
      <c r="T184" s="41">
        <f>салаты!H49</f>
        <v>81.7</v>
      </c>
      <c r="U184" s="41">
        <f>салаты!M49</f>
        <v>25.760000000000005</v>
      </c>
      <c r="V184" s="41">
        <f>салаты!O49</f>
        <v>36.046999999999997</v>
      </c>
      <c r="W184" s="41">
        <f>салаты!P49</f>
        <v>0.66400000000000003</v>
      </c>
      <c r="X184" s="41">
        <f>салаты!J49</f>
        <v>3.36</v>
      </c>
      <c r="Y184" s="41">
        <f>салаты!E51</f>
        <v>1.7030000000000001</v>
      </c>
      <c r="Z184" s="41">
        <f>салаты!F51</f>
        <v>1.389</v>
      </c>
      <c r="AA184" s="41">
        <f>салаты!G51</f>
        <v>16.510999999999999</v>
      </c>
      <c r="AB184" s="41">
        <f>салаты!H51</f>
        <v>85.3</v>
      </c>
      <c r="AC184" s="41">
        <f>салаты!M51</f>
        <v>41.402999999999999</v>
      </c>
      <c r="AD184" s="41">
        <f>салаты!O51</f>
        <v>44.366999999999997</v>
      </c>
      <c r="AE184" s="41">
        <f>салаты!P51</f>
        <v>0.99600000000000011</v>
      </c>
      <c r="AF184" s="41">
        <f>салаты!J51</f>
        <v>1.905</v>
      </c>
      <c r="AG184" s="147" t="s">
        <v>182</v>
      </c>
      <c r="AH184" s="147" t="s">
        <v>106</v>
      </c>
      <c r="AI184" s="144" t="s">
        <v>107</v>
      </c>
      <c r="AJ184" s="144" t="s">
        <v>187</v>
      </c>
      <c r="AK184" s="147" t="s">
        <v>183</v>
      </c>
      <c r="AL184" s="147" t="s">
        <v>184</v>
      </c>
      <c r="AM184" s="147" t="s">
        <v>185</v>
      </c>
      <c r="AN184" s="185" t="s">
        <v>186</v>
      </c>
    </row>
    <row r="185" spans="1:40" ht="18.95" customHeight="1" x14ac:dyDescent="0.25">
      <c r="A185" s="147" t="s">
        <v>182</v>
      </c>
      <c r="B185" s="147" t="s">
        <v>106</v>
      </c>
      <c r="C185" s="115" t="s">
        <v>107</v>
      </c>
      <c r="D185" s="116" t="s">
        <v>187</v>
      </c>
      <c r="E185" s="147" t="s">
        <v>183</v>
      </c>
      <c r="F185" s="147" t="s">
        <v>184</v>
      </c>
      <c r="G185" s="147" t="s">
        <v>185</v>
      </c>
      <c r="H185" s="149" t="s">
        <v>186</v>
      </c>
      <c r="I185" s="147" t="s">
        <v>182</v>
      </c>
      <c r="J185" s="147" t="s">
        <v>106</v>
      </c>
      <c r="K185" s="115" t="s">
        <v>107</v>
      </c>
      <c r="L185" s="116" t="s">
        <v>187</v>
      </c>
      <c r="M185" s="147" t="s">
        <v>183</v>
      </c>
      <c r="N185" s="147" t="s">
        <v>184</v>
      </c>
      <c r="O185" s="147" t="s">
        <v>185</v>
      </c>
      <c r="P185" s="147" t="s">
        <v>186</v>
      </c>
      <c r="AG185" s="41">
        <f>салаты!E53</f>
        <v>1.2569999999999999</v>
      </c>
      <c r="AH185" s="41">
        <f>салаты!F53</f>
        <v>0.13300000000000001</v>
      </c>
      <c r="AI185" s="41">
        <f>салаты!G53</f>
        <v>22.274999999999999</v>
      </c>
      <c r="AJ185" s="41">
        <f>салаты!H53</f>
        <v>95.3</v>
      </c>
      <c r="AK185" s="41">
        <f>салаты!M53</f>
        <v>31.708999999999996</v>
      </c>
      <c r="AL185" s="41">
        <f>салаты!O53</f>
        <v>33.363</v>
      </c>
      <c r="AM185" s="41">
        <f>салаты!P53</f>
        <v>0.91400000000000003</v>
      </c>
      <c r="AN185" s="41">
        <f>салаты!J53</f>
        <v>4.0250000000000004</v>
      </c>
    </row>
    <row r="186" spans="1:40" ht="18.95" customHeight="1" x14ac:dyDescent="0.25">
      <c r="A186" s="41">
        <f>салаты!E45</f>
        <v>0.85320000000000007</v>
      </c>
      <c r="B186" s="41">
        <f>салаты!F45</f>
        <v>3.6162000000000001</v>
      </c>
      <c r="C186" s="41">
        <f>салаты!G45</f>
        <v>3.7650000000000001</v>
      </c>
      <c r="D186" s="41">
        <f>салаты!H45</f>
        <v>51</v>
      </c>
      <c r="E186" s="41">
        <f>салаты!M45</f>
        <v>18.432599999999997</v>
      </c>
      <c r="F186" s="41">
        <f>салаты!O45</f>
        <v>11.172000000000001</v>
      </c>
      <c r="G186" s="41">
        <f>салаты!P45</f>
        <v>0.64019999999999999</v>
      </c>
      <c r="H186" s="41">
        <f>салаты!J45</f>
        <v>3.57</v>
      </c>
      <c r="I186" s="41">
        <f>салаты!E47</f>
        <v>1.1559999999999999</v>
      </c>
      <c r="J186" s="41">
        <f>салаты!F47</f>
        <v>0.185</v>
      </c>
      <c r="K186" s="41">
        <f>салаты!G47</f>
        <v>7.198999999999999</v>
      </c>
      <c r="L186" s="41">
        <f>салаты!H47</f>
        <v>35.1</v>
      </c>
      <c r="M186" s="41">
        <f>салаты!M47</f>
        <v>33.142000000000003</v>
      </c>
      <c r="N186" s="41">
        <f>салаты!O47</f>
        <v>17.282</v>
      </c>
      <c r="O186" s="41">
        <f>салаты!P47</f>
        <v>1.278</v>
      </c>
      <c r="P186" s="41">
        <f>салаты!J47</f>
        <v>15.519</v>
      </c>
      <c r="Q186" s="462" t="s">
        <v>321</v>
      </c>
      <c r="R186" s="462"/>
      <c r="S186" s="462"/>
      <c r="T186" s="462"/>
      <c r="U186" s="462"/>
      <c r="V186" s="462"/>
      <c r="W186" s="462"/>
      <c r="X186" s="462"/>
      <c r="Y186" s="462" t="s">
        <v>327</v>
      </c>
      <c r="Z186" s="462"/>
      <c r="AA186" s="462"/>
      <c r="AB186" s="462"/>
      <c r="AC186" s="462"/>
      <c r="AD186" s="462"/>
      <c r="AE186" s="462"/>
      <c r="AF186" s="483"/>
      <c r="AG186" s="198"/>
      <c r="AH186" s="198"/>
      <c r="AI186" s="198"/>
      <c r="AJ186" s="198"/>
      <c r="AK186" s="198"/>
      <c r="AL186" s="198"/>
      <c r="AM186" s="198"/>
      <c r="AN186" s="198"/>
    </row>
    <row r="187" spans="1:40" ht="18.95" customHeight="1" x14ac:dyDescent="0.25">
      <c r="Q187" s="462"/>
      <c r="R187" s="462"/>
      <c r="S187" s="462"/>
      <c r="T187" s="462"/>
      <c r="U187" s="462"/>
      <c r="V187" s="462"/>
      <c r="W187" s="462"/>
      <c r="X187" s="462"/>
      <c r="Y187" s="462"/>
      <c r="Z187" s="462"/>
      <c r="AA187" s="462"/>
      <c r="AB187" s="462"/>
      <c r="AC187" s="462"/>
      <c r="AD187" s="462"/>
      <c r="AE187" s="462"/>
      <c r="AF187" s="483"/>
      <c r="AG187" s="483" t="s">
        <v>332</v>
      </c>
      <c r="AH187" s="483"/>
      <c r="AI187" s="483"/>
      <c r="AJ187" s="483"/>
      <c r="AK187" s="483"/>
      <c r="AL187" s="483"/>
      <c r="AM187" s="483"/>
      <c r="AN187" s="483"/>
    </row>
    <row r="188" spans="1:40" ht="18.95" customHeight="1" x14ac:dyDescent="0.25">
      <c r="A188" s="462" t="s">
        <v>312</v>
      </c>
      <c r="B188" s="462"/>
      <c r="C188" s="462"/>
      <c r="D188" s="462"/>
      <c r="E188" s="462"/>
      <c r="F188" s="462"/>
      <c r="G188" s="462"/>
      <c r="H188" s="462"/>
      <c r="I188" s="483" t="s">
        <v>318</v>
      </c>
      <c r="J188" s="483"/>
      <c r="K188" s="483"/>
      <c r="L188" s="483"/>
      <c r="M188" s="483"/>
      <c r="N188" s="483"/>
      <c r="O188" s="483"/>
      <c r="P188" s="483"/>
      <c r="Q188" s="119"/>
      <c r="R188" s="119"/>
      <c r="S188" s="119"/>
      <c r="T188" s="119"/>
      <c r="U188" s="119"/>
      <c r="V188" s="119"/>
      <c r="W188" s="119"/>
      <c r="X188" s="119"/>
      <c r="Y188" s="119"/>
      <c r="Z188" s="119"/>
      <c r="AA188" s="119"/>
      <c r="AB188" s="119"/>
      <c r="AC188" s="119"/>
      <c r="AD188" s="119"/>
      <c r="AE188" s="119"/>
      <c r="AF188" s="119"/>
      <c r="AG188" s="483"/>
      <c r="AH188" s="483"/>
      <c r="AI188" s="483"/>
      <c r="AJ188" s="483"/>
      <c r="AK188" s="483"/>
      <c r="AL188" s="483"/>
      <c r="AM188" s="483"/>
      <c r="AN188" s="483"/>
    </row>
    <row r="189" spans="1:40" ht="18.95" customHeight="1" x14ac:dyDescent="0.25">
      <c r="A189" s="462"/>
      <c r="B189" s="462"/>
      <c r="C189" s="462"/>
      <c r="D189" s="462"/>
      <c r="E189" s="462"/>
      <c r="F189" s="462"/>
      <c r="G189" s="462"/>
      <c r="H189" s="462"/>
      <c r="I189" s="483"/>
      <c r="J189" s="483"/>
      <c r="K189" s="483"/>
      <c r="L189" s="483"/>
      <c r="M189" s="483"/>
      <c r="N189" s="483"/>
      <c r="O189" s="483"/>
      <c r="P189" s="483"/>
      <c r="Q189" s="454" t="s">
        <v>232</v>
      </c>
      <c r="R189" s="454"/>
      <c r="S189" s="454"/>
      <c r="Y189" s="454" t="s">
        <v>232</v>
      </c>
      <c r="Z189" s="454"/>
      <c r="AA189" s="454"/>
      <c r="AG189" s="119"/>
      <c r="AH189" s="119"/>
      <c r="AI189" s="119"/>
      <c r="AJ189" s="119"/>
      <c r="AK189" s="119"/>
      <c r="AL189" s="119"/>
      <c r="AM189" s="119"/>
      <c r="AN189" s="119"/>
    </row>
    <row r="190" spans="1:40" ht="18.95" customHeight="1" x14ac:dyDescent="0.25">
      <c r="A190" s="462"/>
      <c r="B190" s="462"/>
      <c r="C190" s="462"/>
      <c r="D190" s="462"/>
      <c r="E190" s="462"/>
      <c r="F190" s="462"/>
      <c r="G190" s="462"/>
      <c r="H190" s="462"/>
      <c r="AG190" s="454" t="s">
        <v>232</v>
      </c>
      <c r="AH190" s="454"/>
      <c r="AI190" s="454"/>
    </row>
    <row r="191" spans="1:40" ht="18.95" customHeight="1" x14ac:dyDescent="0.25">
      <c r="I191" s="454" t="s">
        <v>232</v>
      </c>
      <c r="J191" s="454"/>
      <c r="K191" s="454"/>
    </row>
    <row r="192" spans="1:40" ht="18.95" customHeight="1" x14ac:dyDescent="0.25">
      <c r="A192" s="454" t="s">
        <v>232</v>
      </c>
      <c r="B192" s="454"/>
      <c r="C192" s="454"/>
      <c r="Y192" s="454"/>
      <c r="Z192" s="454"/>
      <c r="AA192" s="454"/>
    </row>
    <row r="193" spans="1:40" ht="18.95" customHeight="1" x14ac:dyDescent="0.25"/>
    <row r="194" spans="1:40" ht="18.95" customHeight="1" x14ac:dyDescent="0.25"/>
    <row r="195" spans="1:40" ht="18.95" customHeight="1" x14ac:dyDescent="0.25"/>
    <row r="196" spans="1:40" ht="18.95" customHeight="1" x14ac:dyDescent="0.25"/>
    <row r="197" spans="1:40" ht="18.95" customHeight="1" x14ac:dyDescent="0.25"/>
    <row r="198" spans="1:40" ht="18.95" customHeight="1" x14ac:dyDescent="0.25"/>
    <row r="199" spans="1:40" ht="18.95" customHeight="1" x14ac:dyDescent="0.25"/>
    <row r="200" spans="1:40" ht="18.95" customHeight="1" x14ac:dyDescent="0.25"/>
    <row r="201" spans="1:40" ht="18.95" customHeight="1" x14ac:dyDescent="0.25"/>
    <row r="202" spans="1:40" ht="18.95" customHeight="1" x14ac:dyDescent="0.25"/>
    <row r="203" spans="1:40" ht="18.95" customHeight="1" x14ac:dyDescent="0.25"/>
    <row r="204" spans="1:40" ht="18.95" customHeight="1" x14ac:dyDescent="0.25"/>
    <row r="205" spans="1:40" ht="18.95" customHeight="1" x14ac:dyDescent="0.25"/>
    <row r="206" spans="1:40" x14ac:dyDescent="0.25">
      <c r="A206" s="472" t="s">
        <v>214</v>
      </c>
      <c r="B206" s="472"/>
      <c r="C206" s="167"/>
      <c r="D206" s="167"/>
      <c r="E206" s="167"/>
      <c r="F206" s="472" t="s">
        <v>215</v>
      </c>
      <c r="G206" s="472"/>
      <c r="H206" s="472"/>
      <c r="I206" s="472" t="s">
        <v>214</v>
      </c>
      <c r="J206" s="472"/>
      <c r="K206" s="167"/>
      <c r="L206" s="167"/>
      <c r="M206" s="167"/>
      <c r="N206" s="472" t="s">
        <v>215</v>
      </c>
      <c r="O206" s="472"/>
      <c r="P206" s="472"/>
      <c r="Q206" s="472" t="s">
        <v>214</v>
      </c>
      <c r="R206" s="472"/>
      <c r="S206" s="167"/>
      <c r="T206" s="167"/>
      <c r="U206" s="167"/>
      <c r="V206" s="472" t="s">
        <v>215</v>
      </c>
      <c r="W206" s="472"/>
      <c r="X206" s="472"/>
      <c r="Y206" s="472" t="s">
        <v>214</v>
      </c>
      <c r="Z206" s="472"/>
      <c r="AA206" s="167"/>
      <c r="AB206" s="167"/>
      <c r="AC206" s="167"/>
      <c r="AD206" s="472" t="s">
        <v>215</v>
      </c>
      <c r="AE206" s="472"/>
      <c r="AF206" s="472"/>
      <c r="AG206" s="472" t="s">
        <v>214</v>
      </c>
      <c r="AH206" s="472"/>
      <c r="AI206" s="167"/>
      <c r="AJ206" s="167"/>
      <c r="AK206" s="167"/>
      <c r="AL206" s="472" t="s">
        <v>215</v>
      </c>
      <c r="AM206" s="472"/>
      <c r="AN206" s="472"/>
    </row>
    <row r="207" spans="1:40" x14ac:dyDescent="0.25">
      <c r="E207" s="454" t="s">
        <v>216</v>
      </c>
      <c r="F207" s="454"/>
      <c r="G207" s="454"/>
      <c r="H207" s="454"/>
      <c r="M207" s="454" t="s">
        <v>216</v>
      </c>
      <c r="N207" s="454"/>
      <c r="O207" s="454"/>
      <c r="P207" s="454"/>
      <c r="U207" s="454" t="s">
        <v>216</v>
      </c>
      <c r="V207" s="454"/>
      <c r="W207" s="454"/>
      <c r="X207" s="454"/>
      <c r="AC207" s="454" t="s">
        <v>216</v>
      </c>
      <c r="AD207" s="454"/>
      <c r="AE207" s="454"/>
      <c r="AF207" s="454"/>
      <c r="AK207" s="454" t="s">
        <v>216</v>
      </c>
      <c r="AL207" s="454"/>
      <c r="AM207" s="454"/>
      <c r="AN207" s="454"/>
    </row>
    <row r="208" spans="1:40" x14ac:dyDescent="0.25">
      <c r="E208" s="150"/>
      <c r="F208" s="150"/>
      <c r="G208" s="150"/>
      <c r="H208" s="150"/>
    </row>
    <row r="209" spans="1:40" ht="18.95" customHeight="1" x14ac:dyDescent="0.25">
      <c r="A209" s="414" t="s">
        <v>333</v>
      </c>
      <c r="B209" s="414"/>
      <c r="C209" s="414"/>
      <c r="D209" s="414"/>
      <c r="E209" s="414"/>
      <c r="F209" s="414"/>
      <c r="G209" s="414"/>
      <c r="H209" s="414"/>
      <c r="I209" s="414" t="s">
        <v>334</v>
      </c>
      <c r="J209" s="414"/>
      <c r="K209" s="414"/>
      <c r="L209" s="414"/>
      <c r="M209" s="414"/>
      <c r="N209" s="414"/>
      <c r="O209" s="414"/>
      <c r="P209" s="414"/>
      <c r="Q209" s="414" t="s">
        <v>335</v>
      </c>
      <c r="R209" s="414"/>
      <c r="S209" s="414"/>
      <c r="T209" s="414"/>
      <c r="U209" s="414"/>
      <c r="V209" s="414"/>
      <c r="W209" s="414"/>
      <c r="X209" s="414"/>
      <c r="Y209" s="414" t="s">
        <v>336</v>
      </c>
      <c r="Z209" s="414"/>
      <c r="AA209" s="414"/>
      <c r="AB209" s="414"/>
      <c r="AC209" s="414"/>
      <c r="AD209" s="414"/>
      <c r="AE209" s="414"/>
      <c r="AF209" s="414"/>
      <c r="AG209" s="414" t="s">
        <v>337</v>
      </c>
      <c r="AH209" s="414"/>
      <c r="AI209" s="414"/>
      <c r="AJ209" s="414"/>
      <c r="AK209" s="414"/>
      <c r="AL209" s="414"/>
      <c r="AM209" s="414"/>
      <c r="AN209" s="414"/>
    </row>
    <row r="210" spans="1:40" ht="18.95" customHeight="1" x14ac:dyDescent="0.25">
      <c r="A210" s="462" t="s">
        <v>687</v>
      </c>
      <c r="B210" s="482"/>
      <c r="C210" s="482"/>
      <c r="D210" s="482"/>
      <c r="E210" s="482"/>
      <c r="F210" s="482"/>
      <c r="G210" s="482"/>
      <c r="H210" s="482"/>
      <c r="I210" s="473" t="s">
        <v>340</v>
      </c>
      <c r="J210" s="465"/>
      <c r="K210" s="465"/>
      <c r="L210" s="465"/>
      <c r="M210" s="465"/>
      <c r="N210" s="465"/>
      <c r="O210" s="465"/>
      <c r="P210" s="465"/>
      <c r="Q210" s="473" t="s">
        <v>342</v>
      </c>
      <c r="R210" s="465"/>
      <c r="S210" s="465"/>
      <c r="T210" s="465"/>
      <c r="U210" s="465"/>
      <c r="V210" s="465"/>
      <c r="W210" s="465"/>
      <c r="X210" s="465"/>
      <c r="Y210" s="473" t="s">
        <v>344</v>
      </c>
      <c r="Z210" s="465"/>
      <c r="AA210" s="465"/>
      <c r="AB210" s="465"/>
      <c r="AC210" s="465"/>
      <c r="AD210" s="465"/>
      <c r="AE210" s="465"/>
      <c r="AF210" s="465"/>
      <c r="AG210" s="473" t="s">
        <v>900</v>
      </c>
      <c r="AH210" s="465"/>
      <c r="AI210" s="465"/>
      <c r="AJ210" s="465"/>
      <c r="AK210" s="465"/>
      <c r="AL210" s="465"/>
      <c r="AM210" s="465"/>
      <c r="AN210" s="465"/>
    </row>
    <row r="211" spans="1:40" ht="18.95" customHeight="1" x14ac:dyDescent="0.25">
      <c r="A211" s="473" t="s">
        <v>338</v>
      </c>
      <c r="B211" s="473"/>
      <c r="C211" s="473"/>
      <c r="D211" s="473"/>
      <c r="E211" s="473"/>
      <c r="F211" s="473"/>
      <c r="G211" s="473"/>
      <c r="H211" s="473"/>
      <c r="I211" s="473" t="s">
        <v>339</v>
      </c>
      <c r="J211" s="473"/>
      <c r="K211" s="473"/>
      <c r="L211" s="473"/>
      <c r="M211" s="473"/>
      <c r="N211" s="473"/>
      <c r="O211" s="473"/>
      <c r="P211" s="473"/>
      <c r="Q211" s="473" t="s">
        <v>341</v>
      </c>
      <c r="R211" s="473"/>
      <c r="S211" s="473"/>
      <c r="T211" s="473"/>
      <c r="U211" s="473"/>
      <c r="V211" s="473"/>
      <c r="W211" s="473"/>
      <c r="X211" s="473"/>
      <c r="Y211" s="473" t="s">
        <v>343</v>
      </c>
      <c r="Z211" s="473"/>
      <c r="AA211" s="473"/>
      <c r="AB211" s="473"/>
      <c r="AC211" s="473"/>
      <c r="AD211" s="473"/>
      <c r="AE211" s="473"/>
      <c r="AF211" s="473"/>
      <c r="AG211" s="473" t="s">
        <v>345</v>
      </c>
      <c r="AH211" s="473"/>
      <c r="AI211" s="473"/>
      <c r="AJ211" s="473"/>
      <c r="AK211" s="473"/>
      <c r="AL211" s="473"/>
      <c r="AM211" s="473"/>
      <c r="AN211" s="473"/>
    </row>
    <row r="212" spans="1:40" ht="18.95" customHeight="1" x14ac:dyDescent="0.25">
      <c r="A212" s="465" t="s">
        <v>189</v>
      </c>
      <c r="B212" s="465"/>
      <c r="C212" s="465"/>
      <c r="D212" s="465"/>
      <c r="E212" s="465"/>
      <c r="F212" s="465"/>
      <c r="G212" s="465"/>
      <c r="H212" s="465"/>
      <c r="I212" s="465" t="s">
        <v>189</v>
      </c>
      <c r="J212" s="465"/>
      <c r="K212" s="465"/>
      <c r="L212" s="465"/>
      <c r="M212" s="465"/>
      <c r="N212" s="465"/>
      <c r="O212" s="465"/>
      <c r="P212" s="465"/>
      <c r="Q212" s="465" t="s">
        <v>189</v>
      </c>
      <c r="R212" s="465"/>
      <c r="S212" s="465"/>
      <c r="T212" s="465"/>
      <c r="U212" s="465"/>
      <c r="V212" s="465"/>
      <c r="W212" s="465"/>
      <c r="X212" s="465"/>
      <c r="Y212" s="465" t="s">
        <v>189</v>
      </c>
      <c r="Z212" s="465"/>
      <c r="AA212" s="465"/>
      <c r="AB212" s="465"/>
      <c r="AC212" s="465"/>
      <c r="AD212" s="465"/>
      <c r="AE212" s="465"/>
      <c r="AF212" s="465"/>
      <c r="AG212" s="465" t="s">
        <v>189</v>
      </c>
      <c r="AH212" s="465"/>
      <c r="AI212" s="465"/>
      <c r="AJ212" s="465"/>
      <c r="AK212" s="465"/>
      <c r="AL212" s="465"/>
      <c r="AM212" s="465"/>
      <c r="AN212" s="465"/>
    </row>
    <row r="213" spans="1:40" ht="18.95" customHeight="1" x14ac:dyDescent="0.25">
      <c r="A213" s="465" t="s">
        <v>190</v>
      </c>
      <c r="B213" s="465"/>
      <c r="C213" s="465"/>
      <c r="D213" s="465"/>
      <c r="E213" s="465"/>
      <c r="F213" s="465"/>
      <c r="G213" s="465"/>
      <c r="H213" s="465"/>
      <c r="I213" s="465" t="s">
        <v>190</v>
      </c>
      <c r="J213" s="465"/>
      <c r="K213" s="465"/>
      <c r="L213" s="465"/>
      <c r="M213" s="465"/>
      <c r="N213" s="465"/>
      <c r="O213" s="465"/>
      <c r="P213" s="465"/>
      <c r="Q213" s="465" t="s">
        <v>190</v>
      </c>
      <c r="R213" s="465"/>
      <c r="S213" s="465"/>
      <c r="T213" s="465"/>
      <c r="U213" s="465"/>
      <c r="V213" s="465"/>
      <c r="W213" s="465"/>
      <c r="X213" s="465"/>
      <c r="Y213" s="465" t="s">
        <v>190</v>
      </c>
      <c r="Z213" s="465"/>
      <c r="AA213" s="465"/>
      <c r="AB213" s="465"/>
      <c r="AC213" s="465"/>
      <c r="AD213" s="465"/>
      <c r="AE213" s="465"/>
      <c r="AF213" s="465"/>
      <c r="AG213" s="465" t="s">
        <v>190</v>
      </c>
      <c r="AH213" s="465"/>
      <c r="AI213" s="465"/>
      <c r="AJ213" s="465"/>
      <c r="AK213" s="465"/>
      <c r="AL213" s="465"/>
      <c r="AM213" s="465"/>
      <c r="AN213" s="465"/>
    </row>
    <row r="214" spans="1:40" ht="18.95" customHeight="1" x14ac:dyDescent="0.25">
      <c r="C214" s="148"/>
      <c r="K214" s="148"/>
      <c r="S214" s="148"/>
      <c r="AA214" s="148"/>
      <c r="AI214" s="148"/>
    </row>
    <row r="215" spans="1:40" ht="18.95" customHeight="1" x14ac:dyDescent="0.25">
      <c r="B215" s="466" t="s">
        <v>174</v>
      </c>
      <c r="C215" s="467"/>
      <c r="D215" s="412" t="s">
        <v>179</v>
      </c>
      <c r="E215" s="412"/>
      <c r="F215" s="412"/>
      <c r="G215" s="412"/>
      <c r="J215" s="466" t="s">
        <v>174</v>
      </c>
      <c r="K215" s="467"/>
      <c r="L215" s="412" t="s">
        <v>179</v>
      </c>
      <c r="M215" s="412"/>
      <c r="N215" s="412"/>
      <c r="O215" s="412"/>
      <c r="R215" s="466" t="s">
        <v>174</v>
      </c>
      <c r="S215" s="467"/>
      <c r="T215" s="412" t="s">
        <v>179</v>
      </c>
      <c r="U215" s="412"/>
      <c r="V215" s="412"/>
      <c r="W215" s="412"/>
      <c r="Z215" s="466" t="s">
        <v>174</v>
      </c>
      <c r="AA215" s="467"/>
      <c r="AB215" s="412" t="s">
        <v>179</v>
      </c>
      <c r="AC215" s="412"/>
      <c r="AD215" s="412"/>
      <c r="AE215" s="412"/>
      <c r="AH215" s="466" t="s">
        <v>174</v>
      </c>
      <c r="AI215" s="467"/>
      <c r="AJ215" s="412" t="s">
        <v>179</v>
      </c>
      <c r="AK215" s="412"/>
      <c r="AL215" s="412"/>
      <c r="AM215" s="412"/>
    </row>
    <row r="216" spans="1:40" ht="18.95" customHeight="1" x14ac:dyDescent="0.25">
      <c r="B216" s="468"/>
      <c r="C216" s="469"/>
      <c r="D216" s="412" t="s">
        <v>177</v>
      </c>
      <c r="E216" s="412"/>
      <c r="F216" s="412" t="s">
        <v>178</v>
      </c>
      <c r="G216" s="412"/>
      <c r="J216" s="468"/>
      <c r="K216" s="469"/>
      <c r="L216" s="412" t="s">
        <v>177</v>
      </c>
      <c r="M216" s="412"/>
      <c r="N216" s="412" t="s">
        <v>178</v>
      </c>
      <c r="O216" s="412"/>
      <c r="R216" s="468"/>
      <c r="S216" s="469"/>
      <c r="T216" s="412" t="s">
        <v>177</v>
      </c>
      <c r="U216" s="412"/>
      <c r="V216" s="412" t="s">
        <v>178</v>
      </c>
      <c r="W216" s="412"/>
      <c r="Z216" s="468"/>
      <c r="AA216" s="469"/>
      <c r="AB216" s="412" t="s">
        <v>177</v>
      </c>
      <c r="AC216" s="412"/>
      <c r="AD216" s="412" t="s">
        <v>178</v>
      </c>
      <c r="AE216" s="412"/>
      <c r="AH216" s="468"/>
      <c r="AI216" s="469"/>
      <c r="AJ216" s="412" t="s">
        <v>177</v>
      </c>
      <c r="AK216" s="412"/>
      <c r="AL216" s="412" t="s">
        <v>178</v>
      </c>
      <c r="AM216" s="412"/>
    </row>
    <row r="217" spans="1:40" ht="18.95" customHeight="1" x14ac:dyDescent="0.25">
      <c r="B217" s="470"/>
      <c r="C217" s="471"/>
      <c r="D217" s="147" t="s">
        <v>175</v>
      </c>
      <c r="E217" s="147" t="s">
        <v>176</v>
      </c>
      <c r="F217" s="147" t="s">
        <v>175</v>
      </c>
      <c r="G217" s="147" t="s">
        <v>176</v>
      </c>
      <c r="J217" s="470"/>
      <c r="K217" s="471"/>
      <c r="L217" s="147" t="s">
        <v>175</v>
      </c>
      <c r="M217" s="147" t="s">
        <v>176</v>
      </c>
      <c r="N217" s="147" t="s">
        <v>175</v>
      </c>
      <c r="O217" s="147" t="s">
        <v>176</v>
      </c>
      <c r="R217" s="470"/>
      <c r="S217" s="471"/>
      <c r="T217" s="147" t="s">
        <v>175</v>
      </c>
      <c r="U217" s="147" t="s">
        <v>176</v>
      </c>
      <c r="V217" s="147" t="s">
        <v>175</v>
      </c>
      <c r="W217" s="147" t="s">
        <v>176</v>
      </c>
      <c r="Z217" s="470"/>
      <c r="AA217" s="471"/>
      <c r="AB217" s="147" t="s">
        <v>175</v>
      </c>
      <c r="AC217" s="147" t="s">
        <v>176</v>
      </c>
      <c r="AD217" s="147" t="s">
        <v>175</v>
      </c>
      <c r="AE217" s="147" t="s">
        <v>176</v>
      </c>
      <c r="AH217" s="470"/>
      <c r="AI217" s="471"/>
      <c r="AJ217" s="147" t="s">
        <v>175</v>
      </c>
      <c r="AK217" s="147" t="s">
        <v>176</v>
      </c>
      <c r="AL217" s="147" t="s">
        <v>175</v>
      </c>
      <c r="AM217" s="147" t="s">
        <v>176</v>
      </c>
    </row>
    <row r="218" spans="1:40" ht="18.95" customHeight="1" x14ac:dyDescent="0.25">
      <c r="B218" s="455" t="s">
        <v>249</v>
      </c>
      <c r="C218" s="456"/>
      <c r="D218" s="106">
        <v>21.67</v>
      </c>
      <c r="E218" s="106">
        <f>G218*салаты!B55/G226</f>
        <v>12.6</v>
      </c>
      <c r="F218" s="106">
        <v>289</v>
      </c>
      <c r="G218" s="106">
        <v>210</v>
      </c>
      <c r="J218" s="455" t="s">
        <v>348</v>
      </c>
      <c r="K218" s="456"/>
      <c r="L218" s="106">
        <v>66</v>
      </c>
      <c r="M218" s="106">
        <v>60</v>
      </c>
      <c r="N218" s="106">
        <f>L218*100</f>
        <v>6600</v>
      </c>
      <c r="O218" s="106">
        <f>M218*100</f>
        <v>6000</v>
      </c>
      <c r="R218" s="455" t="s">
        <v>242</v>
      </c>
      <c r="S218" s="456"/>
      <c r="T218" s="106">
        <v>7.08</v>
      </c>
      <c r="U218" s="106">
        <f>50*U220/50</f>
        <v>60</v>
      </c>
      <c r="V218" s="106">
        <f>T218*100</f>
        <v>708</v>
      </c>
      <c r="W218" s="106">
        <f>U218*100</f>
        <v>6000</v>
      </c>
      <c r="Z218" s="455" t="s">
        <v>355</v>
      </c>
      <c r="AA218" s="456"/>
      <c r="AB218" s="106">
        <f>AD218*салаты!B63/AE223</f>
        <v>80.58</v>
      </c>
      <c r="AC218" s="106" t="s">
        <v>359</v>
      </c>
      <c r="AD218" s="106">
        <v>1343</v>
      </c>
      <c r="AE218" s="106" t="s">
        <v>358</v>
      </c>
      <c r="AH218" s="455" t="s">
        <v>287</v>
      </c>
      <c r="AI218" s="456"/>
      <c r="AJ218" s="106" t="s">
        <v>362</v>
      </c>
      <c r="AK218" s="106">
        <v>40</v>
      </c>
      <c r="AL218" s="106" t="s">
        <v>363</v>
      </c>
      <c r="AM218" s="106">
        <v>4000</v>
      </c>
    </row>
    <row r="219" spans="1:40" ht="18.95" customHeight="1" x14ac:dyDescent="0.25">
      <c r="B219" s="484" t="s">
        <v>301</v>
      </c>
      <c r="C219" s="485"/>
      <c r="D219" s="106">
        <v>11.26</v>
      </c>
      <c r="E219" s="106">
        <f>G219*салаты!B55/G226</f>
        <v>9</v>
      </c>
      <c r="F219" s="106">
        <v>191</v>
      </c>
      <c r="G219" s="106">
        <v>150</v>
      </c>
      <c r="J219" s="455" t="s">
        <v>349</v>
      </c>
      <c r="K219" s="456"/>
      <c r="L219" s="106">
        <v>66</v>
      </c>
      <c r="M219" s="106">
        <v>60</v>
      </c>
      <c r="N219" s="106">
        <f>L219*100</f>
        <v>6600</v>
      </c>
      <c r="O219" s="106">
        <f>M219*100</f>
        <v>6000</v>
      </c>
      <c r="R219" s="455" t="s">
        <v>351</v>
      </c>
      <c r="S219" s="456"/>
      <c r="T219" s="106">
        <v>63.12</v>
      </c>
      <c r="U219" s="106">
        <f>50*U220/50</f>
        <v>60</v>
      </c>
      <c r="V219" s="106">
        <f>T219*100</f>
        <v>6312</v>
      </c>
      <c r="W219" s="106">
        <f>U219*100</f>
        <v>6000</v>
      </c>
      <c r="Z219" s="455" t="s">
        <v>356</v>
      </c>
      <c r="AA219" s="456"/>
      <c r="AB219" s="106">
        <f>AD219*салаты!B63/AE223</f>
        <v>16.5</v>
      </c>
      <c r="AC219" s="106">
        <f>AE219*салаты!B63/AE223</f>
        <v>13.2</v>
      </c>
      <c r="AD219" s="106">
        <v>275</v>
      </c>
      <c r="AE219" s="106">
        <v>220</v>
      </c>
      <c r="AH219" s="457" t="s">
        <v>180</v>
      </c>
      <c r="AI219" s="458"/>
      <c r="AJ219" s="118"/>
      <c r="AK219" s="106" t="s">
        <v>361</v>
      </c>
      <c r="AL219" s="106"/>
      <c r="AM219" s="106" t="s">
        <v>363</v>
      </c>
    </row>
    <row r="220" spans="1:40" ht="18.95" customHeight="1" x14ac:dyDescent="0.25">
      <c r="B220" s="455" t="s">
        <v>246</v>
      </c>
      <c r="C220" s="456"/>
      <c r="D220" s="106">
        <v>8.0399999999999991</v>
      </c>
      <c r="E220" s="106">
        <f>G220*салаты!B55/G226</f>
        <v>6</v>
      </c>
      <c r="F220" s="106">
        <v>126</v>
      </c>
      <c r="G220" s="106">
        <v>100</v>
      </c>
      <c r="J220" s="457" t="s">
        <v>180</v>
      </c>
      <c r="K220" s="458"/>
      <c r="L220" s="118"/>
      <c r="M220" s="106">
        <f>салаты!B57</f>
        <v>60</v>
      </c>
      <c r="N220" s="118"/>
      <c r="O220" s="106">
        <f>M220*100</f>
        <v>6000</v>
      </c>
      <c r="R220" s="457" t="s">
        <v>180</v>
      </c>
      <c r="S220" s="458"/>
      <c r="T220" s="118"/>
      <c r="U220" s="106">
        <v>60</v>
      </c>
      <c r="V220" s="106"/>
      <c r="W220" s="106">
        <v>6000</v>
      </c>
      <c r="Z220" s="455" t="s">
        <v>211</v>
      </c>
      <c r="AA220" s="456"/>
      <c r="AB220" s="106">
        <f>AD220*салаты!B63/AE223</f>
        <v>7.86</v>
      </c>
      <c r="AC220" s="106">
        <f>AE220*салаты!B63/AE223</f>
        <v>6.6</v>
      </c>
      <c r="AD220" s="106">
        <v>131</v>
      </c>
      <c r="AE220" s="106">
        <v>110</v>
      </c>
    </row>
    <row r="221" spans="1:40" ht="18.95" customHeight="1" x14ac:dyDescent="0.25">
      <c r="B221" s="455" t="s">
        <v>1013</v>
      </c>
      <c r="C221" s="456"/>
      <c r="D221" s="106">
        <f>F221*салаты!B55/G226</f>
        <v>11.28</v>
      </c>
      <c r="E221" s="106">
        <f>G221*салаты!B55/G226</f>
        <v>9</v>
      </c>
      <c r="F221" s="106">
        <v>188</v>
      </c>
      <c r="G221" s="106">
        <v>150</v>
      </c>
      <c r="Z221" s="455" t="s">
        <v>357</v>
      </c>
      <c r="AA221" s="456"/>
      <c r="AB221" s="106">
        <f>AD221*салаты!B63/AE223</f>
        <v>6.6</v>
      </c>
      <c r="AC221" s="106">
        <f>AE221*салаты!B63/AE223</f>
        <v>6.6</v>
      </c>
      <c r="AD221" s="106">
        <v>110</v>
      </c>
      <c r="AE221" s="106">
        <v>110</v>
      </c>
      <c r="AG221" s="459" t="s">
        <v>181</v>
      </c>
      <c r="AH221" s="459"/>
      <c r="AI221" s="459"/>
      <c r="AJ221" s="459"/>
      <c r="AK221" s="459"/>
      <c r="AL221" s="459"/>
      <c r="AM221" s="459"/>
      <c r="AN221" s="459"/>
    </row>
    <row r="222" spans="1:40" ht="18.95" customHeight="1" x14ac:dyDescent="0.25">
      <c r="B222" s="455" t="s">
        <v>346</v>
      </c>
      <c r="C222" s="456"/>
      <c r="D222" s="106">
        <f>F222*салаты!B55/G226</f>
        <v>12.84</v>
      </c>
      <c r="E222" s="106">
        <f>G222*салаты!B55/G226</f>
        <v>9</v>
      </c>
      <c r="F222" s="106">
        <v>214</v>
      </c>
      <c r="G222" s="106">
        <v>150</v>
      </c>
      <c r="I222" s="459" t="s">
        <v>181</v>
      </c>
      <c r="J222" s="459"/>
      <c r="K222" s="459"/>
      <c r="L222" s="459"/>
      <c r="M222" s="459"/>
      <c r="N222" s="459"/>
      <c r="O222" s="459"/>
      <c r="P222" s="459"/>
      <c r="Q222" s="459" t="s">
        <v>352</v>
      </c>
      <c r="R222" s="459"/>
      <c r="S222" s="459"/>
      <c r="T222" s="459"/>
      <c r="U222" s="459"/>
      <c r="V222" s="459"/>
      <c r="W222" s="459"/>
      <c r="X222" s="459"/>
      <c r="Z222" s="455" t="s">
        <v>207</v>
      </c>
      <c r="AA222" s="456"/>
      <c r="AB222" s="106">
        <f>AD222*салаты!B63/AE223</f>
        <v>3</v>
      </c>
      <c r="AC222" s="106">
        <f>AE222*салаты!B63/AE223</f>
        <v>3</v>
      </c>
      <c r="AD222" s="106">
        <v>50</v>
      </c>
      <c r="AE222" s="106">
        <v>50</v>
      </c>
      <c r="AG222" s="147" t="s">
        <v>182</v>
      </c>
      <c r="AH222" s="147" t="s">
        <v>106</v>
      </c>
      <c r="AI222" s="115" t="s">
        <v>107</v>
      </c>
      <c r="AJ222" s="116" t="s">
        <v>187</v>
      </c>
      <c r="AK222" s="147" t="s">
        <v>183</v>
      </c>
      <c r="AL222" s="147" t="s">
        <v>184</v>
      </c>
      <c r="AM222" s="147" t="s">
        <v>185</v>
      </c>
      <c r="AN222" s="185" t="s">
        <v>186</v>
      </c>
    </row>
    <row r="223" spans="1:40" ht="18.95" customHeight="1" x14ac:dyDescent="0.25">
      <c r="B223" s="455" t="s">
        <v>243</v>
      </c>
      <c r="C223" s="456"/>
      <c r="D223" s="106">
        <f>F223*салаты!B55/G226</f>
        <v>11.28</v>
      </c>
      <c r="E223" s="106">
        <f>G223*салаты!B55/G226</f>
        <v>9</v>
      </c>
      <c r="F223" s="106">
        <v>188</v>
      </c>
      <c r="G223" s="106">
        <v>150</v>
      </c>
      <c r="I223" s="147" t="s">
        <v>182</v>
      </c>
      <c r="J223" s="147" t="s">
        <v>106</v>
      </c>
      <c r="K223" s="115" t="s">
        <v>107</v>
      </c>
      <c r="L223" s="116" t="s">
        <v>187</v>
      </c>
      <c r="M223" s="147" t="s">
        <v>183</v>
      </c>
      <c r="N223" s="147" t="s">
        <v>184</v>
      </c>
      <c r="O223" s="147" t="s">
        <v>185</v>
      </c>
      <c r="P223" s="147" t="s">
        <v>186</v>
      </c>
      <c r="Q223" s="147" t="s">
        <v>182</v>
      </c>
      <c r="R223" s="147" t="s">
        <v>106</v>
      </c>
      <c r="S223" s="115" t="s">
        <v>107</v>
      </c>
      <c r="T223" s="116" t="s">
        <v>187</v>
      </c>
      <c r="U223" s="147" t="s">
        <v>183</v>
      </c>
      <c r="V223" s="147" t="s">
        <v>184</v>
      </c>
      <c r="W223" s="147" t="s">
        <v>185</v>
      </c>
      <c r="X223" s="185" t="s">
        <v>186</v>
      </c>
      <c r="Z223" s="457" t="s">
        <v>180</v>
      </c>
      <c r="AA223" s="458"/>
      <c r="AB223" s="118"/>
      <c r="AC223" s="106">
        <f>AE223*салаты!B63/AE223</f>
        <v>60</v>
      </c>
      <c r="AD223" s="106"/>
      <c r="AE223" s="106">
        <v>1000</v>
      </c>
      <c r="AG223" s="41">
        <f>салаты!E65</f>
        <v>5.08</v>
      </c>
      <c r="AH223" s="41">
        <f>салаты!F65</f>
        <v>4.5999999999999996</v>
      </c>
      <c r="AI223" s="41">
        <f>салаты!G65</f>
        <v>0.28000000000000003</v>
      </c>
      <c r="AJ223" s="41">
        <f>салаты!H65</f>
        <v>63</v>
      </c>
      <c r="AK223" s="41">
        <f>салаты!M65</f>
        <v>22</v>
      </c>
      <c r="AL223" s="41">
        <f>салаты!O65</f>
        <v>4.8</v>
      </c>
      <c r="AM223" s="41">
        <f>салаты!P65</f>
        <v>1</v>
      </c>
      <c r="AN223" s="41">
        <f>салаты!J65</f>
        <v>0</v>
      </c>
    </row>
    <row r="224" spans="1:40" ht="18.95" customHeight="1" x14ac:dyDescent="0.25">
      <c r="B224" s="455" t="s">
        <v>244</v>
      </c>
      <c r="C224" s="456"/>
      <c r="D224" s="106">
        <f>F224*салаты!B55/G226</f>
        <v>10.74</v>
      </c>
      <c r="E224" s="106">
        <f>G224*салаты!B55/G226</f>
        <v>9</v>
      </c>
      <c r="F224" s="106">
        <v>179</v>
      </c>
      <c r="G224" s="106">
        <v>150</v>
      </c>
      <c r="I224" s="41">
        <f>салаты!E57</f>
        <v>0.48</v>
      </c>
      <c r="J224" s="41">
        <f>салаты!F57</f>
        <v>0.06</v>
      </c>
      <c r="K224" s="41">
        <f>салаты!G57</f>
        <v>1.02</v>
      </c>
      <c r="L224" s="41">
        <f>салаты!H57</f>
        <v>6</v>
      </c>
      <c r="M224" s="41">
        <f>салаты!M57</f>
        <v>13.8</v>
      </c>
      <c r="N224" s="41">
        <f>салаты!O57</f>
        <v>8.4</v>
      </c>
      <c r="O224" s="41">
        <f>салаты!P57</f>
        <v>0.36</v>
      </c>
      <c r="P224" s="41">
        <f>салаты!J57</f>
        <v>2.1</v>
      </c>
      <c r="Q224" s="41">
        <f>салаты!E59</f>
        <v>0.66</v>
      </c>
      <c r="R224" s="41">
        <f>салаты!F59</f>
        <v>0.12</v>
      </c>
      <c r="S224" s="41">
        <f>салаты!G59</f>
        <v>2.2799999999999998</v>
      </c>
      <c r="T224" s="41">
        <f>салаты!H59</f>
        <v>13.2</v>
      </c>
      <c r="U224" s="41">
        <f>салаты!M59</f>
        <v>8.4</v>
      </c>
      <c r="V224" s="41">
        <f>салаты!O59</f>
        <v>12</v>
      </c>
      <c r="W224" s="41">
        <f>салаты!P59</f>
        <v>0.54</v>
      </c>
      <c r="X224" s="41">
        <f>салаты!J59</f>
        <v>10.5</v>
      </c>
    </row>
    <row r="225" spans="1:40" ht="18.95" customHeight="1" x14ac:dyDescent="0.25">
      <c r="B225" s="455" t="s">
        <v>207</v>
      </c>
      <c r="C225" s="456"/>
      <c r="D225" s="106">
        <f>F225*салаты!B55/G226</f>
        <v>6</v>
      </c>
      <c r="E225" s="106">
        <f>G225*салаты!B55/G226</f>
        <v>6</v>
      </c>
      <c r="F225" s="106">
        <v>100</v>
      </c>
      <c r="G225" s="106">
        <v>100</v>
      </c>
      <c r="Y225" s="459" t="s">
        <v>181</v>
      </c>
      <c r="Z225" s="459"/>
      <c r="AA225" s="459"/>
      <c r="AB225" s="459"/>
      <c r="AC225" s="459"/>
      <c r="AD225" s="459"/>
      <c r="AE225" s="459"/>
      <c r="AF225" s="459"/>
      <c r="AG225" s="483" t="s">
        <v>364</v>
      </c>
      <c r="AH225" s="462"/>
      <c r="AI225" s="462"/>
      <c r="AJ225" s="462"/>
      <c r="AK225" s="462"/>
      <c r="AL225" s="462"/>
      <c r="AM225" s="462"/>
      <c r="AN225" s="462"/>
    </row>
    <row r="226" spans="1:40" ht="18.95" customHeight="1" x14ac:dyDescent="0.25">
      <c r="B226" s="457" t="s">
        <v>180</v>
      </c>
      <c r="C226" s="458"/>
      <c r="D226" s="118"/>
      <c r="E226" s="106">
        <f>G226*салаты!B55/G226</f>
        <v>60</v>
      </c>
      <c r="F226" s="106"/>
      <c r="G226" s="106">
        <v>1000</v>
      </c>
      <c r="I226" s="462" t="s">
        <v>350</v>
      </c>
      <c r="J226" s="462"/>
      <c r="K226" s="462"/>
      <c r="L226" s="462"/>
      <c r="M226" s="462"/>
      <c r="N226" s="462"/>
      <c r="O226" s="462"/>
      <c r="P226" s="483"/>
      <c r="Q226" s="459" t="s">
        <v>353</v>
      </c>
      <c r="R226" s="459"/>
      <c r="S226" s="459"/>
      <c r="T226" s="459"/>
      <c r="U226" s="459"/>
      <c r="V226" s="459"/>
      <c r="W226" s="459"/>
      <c r="X226" s="459"/>
      <c r="Y226" s="185" t="s">
        <v>182</v>
      </c>
      <c r="Z226" s="147" t="s">
        <v>106</v>
      </c>
      <c r="AA226" s="115" t="s">
        <v>107</v>
      </c>
      <c r="AB226" s="116" t="s">
        <v>187</v>
      </c>
      <c r="AC226" s="147" t="s">
        <v>183</v>
      </c>
      <c r="AD226" s="147" t="s">
        <v>184</v>
      </c>
      <c r="AE226" s="147" t="s">
        <v>185</v>
      </c>
      <c r="AF226" s="147" t="s">
        <v>186</v>
      </c>
      <c r="AG226" s="486"/>
      <c r="AH226" s="462"/>
      <c r="AI226" s="462"/>
      <c r="AJ226" s="462"/>
      <c r="AK226" s="462"/>
      <c r="AL226" s="462"/>
      <c r="AM226" s="462"/>
      <c r="AN226" s="462"/>
    </row>
    <row r="227" spans="1:40" ht="18.95" customHeight="1" x14ac:dyDescent="0.25">
      <c r="I227" s="462"/>
      <c r="J227" s="462"/>
      <c r="K227" s="462"/>
      <c r="L227" s="462"/>
      <c r="M227" s="462"/>
      <c r="N227" s="462"/>
      <c r="O227" s="462"/>
      <c r="P227" s="481"/>
      <c r="Q227" s="147" t="s">
        <v>182</v>
      </c>
      <c r="R227" s="147" t="s">
        <v>106</v>
      </c>
      <c r="S227" s="115" t="s">
        <v>107</v>
      </c>
      <c r="T227" s="116" t="s">
        <v>187</v>
      </c>
      <c r="U227" s="147" t="s">
        <v>183</v>
      </c>
      <c r="V227" s="147" t="s">
        <v>184</v>
      </c>
      <c r="W227" s="147" t="s">
        <v>185</v>
      </c>
      <c r="X227" s="149" t="s">
        <v>186</v>
      </c>
      <c r="Y227" s="41">
        <f>салаты!E63</f>
        <v>1.6385999999999998</v>
      </c>
      <c r="Z227" s="41">
        <f>салаты!F63</f>
        <v>4.3122000000000007</v>
      </c>
      <c r="AA227" s="41">
        <f>салаты!G63</f>
        <v>8.7270000000000003</v>
      </c>
      <c r="AB227" s="41">
        <f>салаты!H63</f>
        <v>80.28</v>
      </c>
      <c r="AC227" s="41">
        <f>салаты!M63</f>
        <v>54.559800000000003</v>
      </c>
      <c r="AD227" s="41">
        <f>салаты!O63</f>
        <v>10.8636</v>
      </c>
      <c r="AE227" s="41">
        <f>салаты!P63</f>
        <v>0.4446</v>
      </c>
      <c r="AF227" s="41">
        <f>салаты!J63</f>
        <v>2.8056000000000001</v>
      </c>
      <c r="AG227" s="119"/>
      <c r="AH227" s="119"/>
      <c r="AI227" s="119"/>
      <c r="AJ227" s="119"/>
      <c r="AK227" s="119"/>
      <c r="AL227" s="119"/>
      <c r="AM227" s="119"/>
      <c r="AN227" s="119"/>
    </row>
    <row r="228" spans="1:40" ht="18.95" customHeight="1" x14ac:dyDescent="0.25">
      <c r="A228" s="459" t="s">
        <v>181</v>
      </c>
      <c r="B228" s="459"/>
      <c r="C228" s="459"/>
      <c r="D228" s="459"/>
      <c r="E228" s="459"/>
      <c r="F228" s="459"/>
      <c r="G228" s="459"/>
      <c r="H228" s="459"/>
      <c r="Q228" s="41">
        <f>салаты!E61</f>
        <v>0.42</v>
      </c>
      <c r="R228" s="41">
        <f>салаты!F61</f>
        <v>0.06</v>
      </c>
      <c r="S228" s="41">
        <f>салаты!G61</f>
        <v>1.1399999999999999</v>
      </c>
      <c r="T228" s="41">
        <f>салаты!H61</f>
        <v>7.2</v>
      </c>
      <c r="U228" s="41">
        <f>салаты!M61</f>
        <v>10.199999999999999</v>
      </c>
      <c r="V228" s="41">
        <f>салаты!O61</f>
        <v>8.4</v>
      </c>
      <c r="W228" s="41">
        <f>салаты!P61</f>
        <v>0.3</v>
      </c>
      <c r="X228" s="41">
        <f>салаты!J61</f>
        <v>2.94</v>
      </c>
      <c r="AG228" s="454" t="s">
        <v>232</v>
      </c>
      <c r="AH228" s="454"/>
      <c r="AI228" s="454"/>
    </row>
    <row r="229" spans="1:40" ht="18.95" customHeight="1" x14ac:dyDescent="0.25">
      <c r="A229" s="147" t="s">
        <v>182</v>
      </c>
      <c r="B229" s="147" t="s">
        <v>106</v>
      </c>
      <c r="C229" s="115" t="s">
        <v>107</v>
      </c>
      <c r="D229" s="116" t="s">
        <v>187</v>
      </c>
      <c r="E229" s="147" t="s">
        <v>183</v>
      </c>
      <c r="F229" s="147" t="s">
        <v>184</v>
      </c>
      <c r="G229" s="147" t="s">
        <v>185</v>
      </c>
      <c r="H229" s="185" t="s">
        <v>186</v>
      </c>
      <c r="I229" s="454" t="s">
        <v>232</v>
      </c>
      <c r="J229" s="454"/>
      <c r="K229" s="454"/>
      <c r="Y229" s="462" t="s">
        <v>360</v>
      </c>
      <c r="Z229" s="462"/>
      <c r="AA229" s="462"/>
      <c r="AB229" s="462"/>
      <c r="AC229" s="462"/>
      <c r="AD229" s="462"/>
      <c r="AE229" s="462"/>
      <c r="AF229" s="462"/>
    </row>
    <row r="230" spans="1:40" ht="18.95" customHeight="1" x14ac:dyDescent="0.25">
      <c r="A230" s="41">
        <f>салаты!E55</f>
        <v>0.84179999999999999</v>
      </c>
      <c r="B230" s="41">
        <f>салаты!F55</f>
        <v>6.024</v>
      </c>
      <c r="C230" s="41">
        <f>салаты!G55</f>
        <v>4.3739999999999997</v>
      </c>
      <c r="D230" s="41">
        <f>салаты!H55</f>
        <v>75.06</v>
      </c>
      <c r="E230" s="41">
        <f>салаты!M55</f>
        <v>18.741</v>
      </c>
      <c r="F230" s="41">
        <f>салаты!O55</f>
        <v>11.7174</v>
      </c>
      <c r="G230" s="41">
        <f>салаты!P55</f>
        <v>0.49679999999999996</v>
      </c>
      <c r="H230" s="41">
        <f>салаты!J55</f>
        <v>5.7791999999999994</v>
      </c>
      <c r="Q230" s="462" t="s">
        <v>354</v>
      </c>
      <c r="R230" s="462"/>
      <c r="S230" s="462"/>
      <c r="T230" s="462"/>
      <c r="U230" s="462"/>
      <c r="V230" s="462"/>
      <c r="W230" s="462"/>
      <c r="X230" s="462"/>
      <c r="Y230" s="462"/>
      <c r="Z230" s="462"/>
      <c r="AA230" s="462"/>
      <c r="AB230" s="462"/>
      <c r="AC230" s="462"/>
      <c r="AD230" s="462"/>
      <c r="AE230" s="462"/>
      <c r="AF230" s="462"/>
    </row>
    <row r="231" spans="1:40" ht="18.95" customHeight="1" x14ac:dyDescent="0.25">
      <c r="Q231" s="462"/>
      <c r="R231" s="462"/>
      <c r="S231" s="462"/>
      <c r="T231" s="462"/>
      <c r="U231" s="462"/>
      <c r="V231" s="462"/>
      <c r="W231" s="462"/>
      <c r="X231" s="462"/>
      <c r="Y231" s="462"/>
      <c r="Z231" s="462"/>
      <c r="AA231" s="462"/>
      <c r="AB231" s="462"/>
      <c r="AC231" s="462"/>
      <c r="AD231" s="462"/>
      <c r="AE231" s="462"/>
      <c r="AF231" s="462"/>
    </row>
    <row r="232" spans="1:40" ht="18.95" customHeight="1" x14ac:dyDescent="0.25">
      <c r="A232" s="462" t="s">
        <v>347</v>
      </c>
      <c r="B232" s="462"/>
      <c r="C232" s="462"/>
      <c r="D232" s="462"/>
      <c r="E232" s="462"/>
      <c r="F232" s="462"/>
      <c r="G232" s="462"/>
      <c r="H232" s="462"/>
      <c r="Q232" s="462"/>
      <c r="R232" s="462"/>
      <c r="S232" s="462"/>
      <c r="T232" s="462"/>
      <c r="U232" s="462"/>
      <c r="V232" s="462"/>
      <c r="W232" s="462"/>
      <c r="X232" s="462"/>
      <c r="Y232" s="150"/>
      <c r="Z232" s="150"/>
      <c r="AA232" s="150"/>
    </row>
    <row r="233" spans="1:40" ht="18.95" customHeight="1" x14ac:dyDescent="0.25">
      <c r="A233" s="462"/>
      <c r="B233" s="462"/>
      <c r="C233" s="462"/>
      <c r="D233" s="462"/>
      <c r="E233" s="462"/>
      <c r="F233" s="462"/>
      <c r="G233" s="462"/>
      <c r="H233" s="462"/>
      <c r="Y233" s="454" t="s">
        <v>232</v>
      </c>
      <c r="Z233" s="454"/>
      <c r="AA233" s="454"/>
    </row>
    <row r="234" spans="1:40" ht="18.95" customHeight="1" x14ac:dyDescent="0.25">
      <c r="A234" s="462"/>
      <c r="B234" s="462"/>
      <c r="C234" s="462"/>
      <c r="D234" s="462"/>
      <c r="E234" s="462"/>
      <c r="F234" s="462"/>
      <c r="G234" s="462"/>
      <c r="H234" s="462"/>
      <c r="Q234" s="454" t="s">
        <v>232</v>
      </c>
      <c r="R234" s="454"/>
      <c r="S234" s="454"/>
    </row>
    <row r="235" spans="1:40" ht="18.95" customHeight="1" x14ac:dyDescent="0.25">
      <c r="A235" s="462"/>
      <c r="B235" s="462"/>
      <c r="C235" s="462"/>
      <c r="D235" s="462"/>
      <c r="E235" s="462"/>
      <c r="F235" s="462"/>
      <c r="G235" s="462"/>
      <c r="H235" s="462"/>
    </row>
    <row r="236" spans="1:40" ht="18.95" customHeight="1" x14ac:dyDescent="0.25">
      <c r="A236" s="119"/>
      <c r="B236" s="119"/>
      <c r="C236" s="119"/>
      <c r="D236" s="119"/>
      <c r="E236" s="119"/>
      <c r="F236" s="119"/>
      <c r="G236" s="119"/>
      <c r="H236" s="119"/>
    </row>
    <row r="237" spans="1:40" ht="18.95" customHeight="1" x14ac:dyDescent="0.25">
      <c r="A237" s="454" t="s">
        <v>232</v>
      </c>
      <c r="B237" s="454"/>
      <c r="C237" s="454"/>
      <c r="D237" s="119"/>
      <c r="E237" s="119"/>
      <c r="F237" s="119"/>
      <c r="G237" s="119"/>
      <c r="H237" s="119"/>
    </row>
    <row r="238" spans="1:40" ht="18.95" customHeight="1" x14ac:dyDescent="0.25"/>
    <row r="239" spans="1:40" ht="18.95" customHeight="1" x14ac:dyDescent="0.25"/>
    <row r="240" spans="1:40" ht="18.95" customHeight="1" x14ac:dyDescent="0.25"/>
    <row r="241" spans="1:40" ht="18.95" customHeight="1" x14ac:dyDescent="0.25"/>
    <row r="242" spans="1:40" ht="18.95" customHeight="1" x14ac:dyDescent="0.25"/>
    <row r="243" spans="1:40" ht="18.95" customHeight="1" x14ac:dyDescent="0.25"/>
    <row r="244" spans="1:40" ht="18.95" customHeight="1" x14ac:dyDescent="0.25"/>
    <row r="245" spans="1:40" ht="18.95" customHeight="1" x14ac:dyDescent="0.25"/>
    <row r="246" spans="1:40" ht="18.95" customHeight="1" x14ac:dyDescent="0.25"/>
    <row r="247" spans="1:40" x14ac:dyDescent="0.25">
      <c r="A247" s="472" t="s">
        <v>214</v>
      </c>
      <c r="B247" s="472"/>
      <c r="C247" s="167"/>
      <c r="D247" s="167"/>
      <c r="E247" s="167"/>
      <c r="F247" s="472" t="s">
        <v>215</v>
      </c>
      <c r="G247" s="472"/>
      <c r="H247" s="472"/>
      <c r="I247" s="472" t="s">
        <v>214</v>
      </c>
      <c r="J247" s="472"/>
      <c r="K247" s="167"/>
      <c r="L247" s="167"/>
      <c r="M247" s="167"/>
      <c r="N247" s="472" t="s">
        <v>215</v>
      </c>
      <c r="O247" s="472"/>
      <c r="P247" s="472"/>
      <c r="Q247" s="472" t="s">
        <v>214</v>
      </c>
      <c r="R247" s="472"/>
      <c r="S247" s="167"/>
      <c r="T247" s="167"/>
      <c r="U247" s="167"/>
      <c r="V247" s="472" t="s">
        <v>215</v>
      </c>
      <c r="W247" s="472"/>
      <c r="X247" s="472"/>
      <c r="Y247" s="167"/>
      <c r="Z247" s="167"/>
      <c r="AA247" s="167"/>
      <c r="AB247" s="167"/>
      <c r="AC247" s="167"/>
      <c r="AD247" s="167"/>
      <c r="AE247" s="167"/>
      <c r="AF247" s="167"/>
      <c r="AG247" s="167"/>
      <c r="AH247" s="167"/>
      <c r="AI247" s="167"/>
      <c r="AJ247" s="167"/>
      <c r="AK247" s="167"/>
      <c r="AL247" s="167"/>
      <c r="AM247" s="167"/>
      <c r="AN247" s="167"/>
    </row>
    <row r="248" spans="1:40" x14ac:dyDescent="0.25">
      <c r="E248" s="454" t="s">
        <v>216</v>
      </c>
      <c r="F248" s="454"/>
      <c r="G248" s="454"/>
      <c r="H248" s="454"/>
      <c r="M248" s="454" t="s">
        <v>216</v>
      </c>
      <c r="N248" s="454"/>
      <c r="O248" s="454"/>
      <c r="P248" s="454"/>
      <c r="U248" s="454" t="s">
        <v>216</v>
      </c>
      <c r="V248" s="454"/>
      <c r="W248" s="454"/>
      <c r="X248" s="454"/>
      <c r="Y248" s="167"/>
      <c r="Z248" s="167"/>
      <c r="AA248" s="167"/>
      <c r="AB248" s="167"/>
      <c r="AC248" s="167"/>
      <c r="AD248" s="167"/>
      <c r="AE248" s="167"/>
      <c r="AF248" s="167"/>
      <c r="AG248" s="167"/>
      <c r="AH248" s="167"/>
      <c r="AI248" s="167"/>
      <c r="AJ248" s="167"/>
      <c r="AK248" s="167"/>
      <c r="AL248" s="167"/>
      <c r="AM248" s="167"/>
      <c r="AN248" s="167"/>
    </row>
    <row r="249" spans="1:40" x14ac:dyDescent="0.25">
      <c r="E249" s="150"/>
      <c r="F249" s="150"/>
      <c r="G249" s="150"/>
      <c r="H249" s="150"/>
      <c r="Y249" s="167"/>
      <c r="Z249" s="167"/>
      <c r="AA249" s="167"/>
      <c r="AB249" s="167"/>
      <c r="AC249" s="167"/>
      <c r="AD249" s="167"/>
      <c r="AE249" s="167"/>
      <c r="AF249" s="167"/>
      <c r="AG249" s="167"/>
      <c r="AH249" s="167"/>
      <c r="AI249" s="167"/>
      <c r="AJ249" s="167"/>
      <c r="AK249" s="167"/>
      <c r="AL249" s="167"/>
      <c r="AM249" s="167"/>
      <c r="AN249" s="167"/>
    </row>
    <row r="250" spans="1:40" ht="18.95" customHeight="1" x14ac:dyDescent="0.25">
      <c r="A250" s="414" t="s">
        <v>365</v>
      </c>
      <c r="B250" s="414"/>
      <c r="C250" s="414"/>
      <c r="D250" s="414"/>
      <c r="E250" s="414"/>
      <c r="F250" s="414"/>
      <c r="G250" s="414"/>
      <c r="H250" s="414"/>
      <c r="I250" s="414" t="s">
        <v>366</v>
      </c>
      <c r="J250" s="414"/>
      <c r="K250" s="414"/>
      <c r="L250" s="414"/>
      <c r="M250" s="414"/>
      <c r="N250" s="414"/>
      <c r="O250" s="414"/>
      <c r="P250" s="414"/>
      <c r="Q250" s="414" t="s">
        <v>367</v>
      </c>
      <c r="R250" s="414"/>
      <c r="S250" s="414"/>
      <c r="T250" s="414"/>
      <c r="U250" s="414"/>
      <c r="V250" s="414"/>
      <c r="W250" s="414"/>
      <c r="X250" s="414"/>
      <c r="Y250" s="167"/>
      <c r="Z250" s="167"/>
      <c r="AA250" s="167"/>
      <c r="AB250" s="167"/>
      <c r="AC250" s="167"/>
      <c r="AD250" s="167"/>
      <c r="AE250" s="167"/>
      <c r="AF250" s="167"/>
      <c r="AG250" s="167"/>
      <c r="AH250" s="167"/>
      <c r="AI250" s="167"/>
      <c r="AJ250" s="167"/>
      <c r="AK250" s="167"/>
      <c r="AL250" s="167"/>
      <c r="AM250" s="167"/>
      <c r="AN250" s="167"/>
    </row>
    <row r="251" spans="1:40" ht="18.95" customHeight="1" x14ac:dyDescent="0.25">
      <c r="A251" s="462" t="s">
        <v>688</v>
      </c>
      <c r="B251" s="482"/>
      <c r="C251" s="482"/>
      <c r="D251" s="482"/>
      <c r="E251" s="482"/>
      <c r="F251" s="482"/>
      <c r="G251" s="482"/>
      <c r="H251" s="482"/>
      <c r="I251" s="473" t="s">
        <v>376</v>
      </c>
      <c r="J251" s="465"/>
      <c r="K251" s="465"/>
      <c r="L251" s="465"/>
      <c r="M251" s="465"/>
      <c r="N251" s="465"/>
      <c r="O251" s="465"/>
      <c r="P251" s="465"/>
      <c r="Q251" s="473" t="s">
        <v>384</v>
      </c>
      <c r="R251" s="465"/>
      <c r="S251" s="465"/>
      <c r="T251" s="465"/>
      <c r="U251" s="465"/>
      <c r="V251" s="465"/>
      <c r="W251" s="465"/>
      <c r="X251" s="465"/>
      <c r="Y251" s="167"/>
      <c r="Z251" s="167"/>
      <c r="AA251" s="167"/>
      <c r="AB251" s="167"/>
      <c r="AC251" s="167"/>
      <c r="AD251" s="167"/>
      <c r="AE251" s="167"/>
      <c r="AF251" s="167"/>
      <c r="AG251" s="167"/>
      <c r="AH251" s="167"/>
      <c r="AI251" s="167"/>
      <c r="AJ251" s="167"/>
      <c r="AK251" s="167"/>
      <c r="AL251" s="167"/>
      <c r="AM251" s="167"/>
      <c r="AN251" s="167"/>
    </row>
    <row r="252" spans="1:40" ht="18.95" customHeight="1" x14ac:dyDescent="0.25">
      <c r="A252" s="473" t="s">
        <v>370</v>
      </c>
      <c r="B252" s="473"/>
      <c r="C252" s="473"/>
      <c r="D252" s="473"/>
      <c r="E252" s="473"/>
      <c r="F252" s="473"/>
      <c r="G252" s="473"/>
      <c r="H252" s="473"/>
      <c r="I252" s="473" t="s">
        <v>375</v>
      </c>
      <c r="J252" s="473"/>
      <c r="K252" s="473"/>
      <c r="L252" s="473"/>
      <c r="M252" s="473"/>
      <c r="N252" s="473"/>
      <c r="O252" s="473"/>
      <c r="P252" s="473"/>
      <c r="Q252" s="473" t="s">
        <v>383</v>
      </c>
      <c r="R252" s="473"/>
      <c r="S252" s="473"/>
      <c r="T252" s="473"/>
      <c r="U252" s="473"/>
      <c r="V252" s="473"/>
      <c r="W252" s="473"/>
      <c r="X252" s="473"/>
      <c r="Y252" s="167"/>
      <c r="Z252" s="167"/>
      <c r="AA252" s="167"/>
      <c r="AB252" s="167"/>
      <c r="AC252" s="167"/>
      <c r="AD252" s="167"/>
      <c r="AE252" s="167"/>
      <c r="AF252" s="167"/>
      <c r="AG252" s="167"/>
      <c r="AH252" s="167"/>
      <c r="AI252" s="167"/>
      <c r="AJ252" s="167"/>
      <c r="AK252" s="167"/>
      <c r="AL252" s="167"/>
      <c r="AM252" s="167"/>
      <c r="AN252" s="167"/>
    </row>
    <row r="253" spans="1:40" ht="18.95" customHeight="1" x14ac:dyDescent="0.25">
      <c r="A253" s="465" t="s">
        <v>189</v>
      </c>
      <c r="B253" s="465"/>
      <c r="C253" s="465"/>
      <c r="D253" s="465"/>
      <c r="E253" s="465"/>
      <c r="F253" s="465"/>
      <c r="G253" s="465"/>
      <c r="H253" s="465"/>
      <c r="I253" s="465" t="s">
        <v>189</v>
      </c>
      <c r="J253" s="465"/>
      <c r="K253" s="465"/>
      <c r="L253" s="465"/>
      <c r="M253" s="465"/>
      <c r="N253" s="465"/>
      <c r="O253" s="465"/>
      <c r="P253" s="465"/>
      <c r="Q253" s="465" t="s">
        <v>189</v>
      </c>
      <c r="R253" s="465"/>
      <c r="S253" s="465"/>
      <c r="T253" s="465"/>
      <c r="U253" s="465"/>
      <c r="V253" s="465"/>
      <c r="W253" s="465"/>
      <c r="X253" s="465"/>
      <c r="Y253" s="167"/>
      <c r="Z253" s="167"/>
      <c r="AA253" s="167"/>
      <c r="AB253" s="167"/>
      <c r="AC253" s="167"/>
      <c r="AD253" s="167"/>
      <c r="AE253" s="167"/>
      <c r="AF253" s="167"/>
      <c r="AG253" s="167"/>
      <c r="AH253" s="167"/>
      <c r="AI253" s="167"/>
      <c r="AJ253" s="167"/>
      <c r="AK253" s="167"/>
      <c r="AL253" s="167"/>
      <c r="AM253" s="167"/>
      <c r="AN253" s="167"/>
    </row>
    <row r="254" spans="1:40" ht="18.95" customHeight="1" x14ac:dyDescent="0.25">
      <c r="A254" s="465" t="s">
        <v>190</v>
      </c>
      <c r="B254" s="465"/>
      <c r="C254" s="465"/>
      <c r="D254" s="465"/>
      <c r="E254" s="465"/>
      <c r="F254" s="465"/>
      <c r="G254" s="465"/>
      <c r="H254" s="465"/>
      <c r="I254" s="465" t="s">
        <v>190</v>
      </c>
      <c r="J254" s="465"/>
      <c r="K254" s="465"/>
      <c r="L254" s="465"/>
      <c r="M254" s="465"/>
      <c r="N254" s="465"/>
      <c r="O254" s="465"/>
      <c r="P254" s="465"/>
      <c r="Q254" s="465" t="s">
        <v>190</v>
      </c>
      <c r="R254" s="465"/>
      <c r="S254" s="465"/>
      <c r="T254" s="465"/>
      <c r="U254" s="465"/>
      <c r="V254" s="465"/>
      <c r="W254" s="465"/>
      <c r="X254" s="465"/>
      <c r="Y254" s="167"/>
      <c r="Z254" s="167"/>
      <c r="AA254" s="167"/>
      <c r="AB254" s="167"/>
      <c r="AC254" s="167"/>
      <c r="AD254" s="167"/>
      <c r="AE254" s="167"/>
      <c r="AF254" s="167"/>
      <c r="AG254" s="167"/>
      <c r="AH254" s="167"/>
      <c r="AI254" s="167"/>
      <c r="AJ254" s="167"/>
      <c r="AK254" s="167"/>
      <c r="AL254" s="167"/>
      <c r="AM254" s="167"/>
      <c r="AN254" s="167"/>
    </row>
    <row r="255" spans="1:40" ht="18.95" customHeight="1" x14ac:dyDescent="0.25">
      <c r="C255" s="148"/>
      <c r="K255" s="148"/>
      <c r="S255" s="148"/>
      <c r="Y255" s="167"/>
      <c r="Z255" s="167"/>
      <c r="AA255" s="167"/>
      <c r="AB255" s="167"/>
      <c r="AC255" s="167"/>
      <c r="AD255" s="167"/>
      <c r="AE255" s="167"/>
      <c r="AF255" s="167"/>
      <c r="AG255" s="167"/>
      <c r="AH255" s="167"/>
      <c r="AI255" s="167"/>
      <c r="AJ255" s="167"/>
      <c r="AK255" s="167"/>
      <c r="AL255" s="167"/>
      <c r="AM255" s="167"/>
      <c r="AN255" s="167"/>
    </row>
    <row r="256" spans="1:40" ht="18.95" customHeight="1" x14ac:dyDescent="0.25">
      <c r="B256" s="466" t="s">
        <v>174</v>
      </c>
      <c r="C256" s="467"/>
      <c r="D256" s="412" t="s">
        <v>179</v>
      </c>
      <c r="E256" s="412"/>
      <c r="F256" s="412"/>
      <c r="G256" s="412"/>
      <c r="J256" s="466" t="s">
        <v>174</v>
      </c>
      <c r="K256" s="467"/>
      <c r="L256" s="412" t="s">
        <v>179</v>
      </c>
      <c r="M256" s="412"/>
      <c r="N256" s="412"/>
      <c r="O256" s="412"/>
      <c r="R256" s="466" t="s">
        <v>174</v>
      </c>
      <c r="S256" s="467"/>
      <c r="T256" s="412" t="s">
        <v>179</v>
      </c>
      <c r="U256" s="412"/>
      <c r="V256" s="412"/>
      <c r="W256" s="412"/>
      <c r="Y256" s="167"/>
      <c r="Z256" s="167"/>
      <c r="AA256" s="167"/>
      <c r="AB256" s="167"/>
      <c r="AC256" s="167"/>
      <c r="AD256" s="167"/>
      <c r="AE256" s="167"/>
      <c r="AF256" s="167"/>
      <c r="AG256" s="167"/>
      <c r="AH256" s="167"/>
      <c r="AI256" s="167"/>
      <c r="AJ256" s="167"/>
      <c r="AK256" s="167"/>
      <c r="AL256" s="167"/>
      <c r="AM256" s="167"/>
      <c r="AN256" s="167"/>
    </row>
    <row r="257" spans="1:40" ht="18.95" customHeight="1" x14ac:dyDescent="0.25">
      <c r="B257" s="468"/>
      <c r="C257" s="469"/>
      <c r="D257" s="412" t="s">
        <v>177</v>
      </c>
      <c r="E257" s="412"/>
      <c r="F257" s="412" t="s">
        <v>178</v>
      </c>
      <c r="G257" s="412"/>
      <c r="J257" s="468"/>
      <c r="K257" s="469"/>
      <c r="L257" s="412" t="s">
        <v>177</v>
      </c>
      <c r="M257" s="412"/>
      <c r="N257" s="412" t="s">
        <v>178</v>
      </c>
      <c r="O257" s="412"/>
      <c r="R257" s="468"/>
      <c r="S257" s="469"/>
      <c r="T257" s="412" t="s">
        <v>177</v>
      </c>
      <c r="U257" s="412"/>
      <c r="V257" s="412" t="s">
        <v>178</v>
      </c>
      <c r="W257" s="412"/>
      <c r="Y257" s="167"/>
      <c r="Z257" s="167"/>
      <c r="AA257" s="167"/>
      <c r="AB257" s="167"/>
      <c r="AC257" s="167"/>
      <c r="AD257" s="167"/>
      <c r="AE257" s="167"/>
      <c r="AF257" s="167"/>
      <c r="AG257" s="167"/>
      <c r="AH257" s="167"/>
      <c r="AI257" s="167"/>
      <c r="AJ257" s="167"/>
      <c r="AK257" s="167"/>
      <c r="AL257" s="167"/>
      <c r="AM257" s="167"/>
      <c r="AN257" s="167"/>
    </row>
    <row r="258" spans="1:40" ht="18.95" customHeight="1" x14ac:dyDescent="0.25">
      <c r="B258" s="470"/>
      <c r="C258" s="471"/>
      <c r="D258" s="147" t="s">
        <v>175</v>
      </c>
      <c r="E258" s="147" t="s">
        <v>176</v>
      </c>
      <c r="F258" s="147" t="s">
        <v>175</v>
      </c>
      <c r="G258" s="147" t="s">
        <v>176</v>
      </c>
      <c r="J258" s="470"/>
      <c r="K258" s="471"/>
      <c r="L258" s="147" t="s">
        <v>175</v>
      </c>
      <c r="M258" s="147" t="s">
        <v>176</v>
      </c>
      <c r="N258" s="147" t="s">
        <v>175</v>
      </c>
      <c r="O258" s="147" t="s">
        <v>176</v>
      </c>
      <c r="R258" s="470"/>
      <c r="S258" s="471"/>
      <c r="T258" s="147" t="s">
        <v>175</v>
      </c>
      <c r="U258" s="147" t="s">
        <v>176</v>
      </c>
      <c r="V258" s="147" t="s">
        <v>175</v>
      </c>
      <c r="W258" s="147" t="s">
        <v>176</v>
      </c>
      <c r="Y258" s="167"/>
      <c r="Z258" s="167"/>
      <c r="AA258" s="167"/>
      <c r="AB258" s="167"/>
      <c r="AC258" s="167"/>
      <c r="AD258" s="167"/>
      <c r="AE258" s="167"/>
      <c r="AF258" s="167"/>
      <c r="AG258" s="167"/>
      <c r="AH258" s="167"/>
      <c r="AI258" s="167"/>
      <c r="AJ258" s="167"/>
      <c r="AK258" s="167"/>
      <c r="AL258" s="167"/>
      <c r="AM258" s="167"/>
      <c r="AN258" s="167"/>
    </row>
    <row r="259" spans="1:40" ht="18.95" customHeight="1" x14ac:dyDescent="0.25">
      <c r="B259" s="463" t="s">
        <v>273</v>
      </c>
      <c r="C259" s="464"/>
      <c r="D259" s="106">
        <f>F259*салаты!B67/G262</f>
        <v>89.52</v>
      </c>
      <c r="E259" s="106">
        <f>G259*салаты!B67/G262</f>
        <v>58.2</v>
      </c>
      <c r="F259" s="106">
        <v>1492</v>
      </c>
      <c r="G259" s="106">
        <v>970</v>
      </c>
      <c r="J259" s="455" t="s">
        <v>316</v>
      </c>
      <c r="K259" s="456"/>
      <c r="L259" s="106">
        <f>100*M262/100</f>
        <v>100</v>
      </c>
      <c r="M259" s="106">
        <f>100*M262/100</f>
        <v>100</v>
      </c>
      <c r="N259" s="106">
        <f t="shared" ref="N259:O261" si="4">L259*100</f>
        <v>10000</v>
      </c>
      <c r="O259" s="106">
        <f t="shared" si="4"/>
        <v>10000</v>
      </c>
      <c r="R259" s="455" t="s">
        <v>385</v>
      </c>
      <c r="S259" s="456"/>
      <c r="T259" s="106">
        <f>149*U261/100</f>
        <v>149</v>
      </c>
      <c r="U259" s="106">
        <f>100*U261/100</f>
        <v>100</v>
      </c>
      <c r="V259" s="106">
        <f>T259*100</f>
        <v>14900</v>
      </c>
      <c r="W259" s="106">
        <f>U259*100</f>
        <v>10000</v>
      </c>
      <c r="Y259" s="167"/>
      <c r="Z259" s="167"/>
      <c r="AA259" s="167"/>
      <c r="AB259" s="167"/>
      <c r="AC259" s="167"/>
      <c r="AD259" s="167"/>
      <c r="AE259" s="167"/>
      <c r="AF259" s="167"/>
      <c r="AG259" s="167"/>
      <c r="AH259" s="167"/>
      <c r="AI259" s="167"/>
      <c r="AJ259" s="167"/>
      <c r="AK259" s="167"/>
      <c r="AL259" s="167"/>
      <c r="AM259" s="167"/>
      <c r="AN259" s="167"/>
    </row>
    <row r="260" spans="1:40" ht="18.95" customHeight="1" x14ac:dyDescent="0.25">
      <c r="B260" s="463" t="s">
        <v>371</v>
      </c>
      <c r="C260" s="464"/>
      <c r="D260" s="106">
        <f>F260*салаты!B67/G262</f>
        <v>97.02</v>
      </c>
      <c r="E260" s="106">
        <f>G260*салаты!B67/G262</f>
        <v>58.2</v>
      </c>
      <c r="F260" s="106">
        <v>1617</v>
      </c>
      <c r="G260" s="106">
        <v>970</v>
      </c>
      <c r="J260" s="455" t="s">
        <v>377</v>
      </c>
      <c r="K260" s="456"/>
      <c r="L260" s="106">
        <f>100*M262/100</f>
        <v>100</v>
      </c>
      <c r="M260" s="106">
        <f>100*M262/100</f>
        <v>100</v>
      </c>
      <c r="N260" s="106">
        <f t="shared" si="4"/>
        <v>10000</v>
      </c>
      <c r="O260" s="106">
        <f t="shared" si="4"/>
        <v>10000</v>
      </c>
      <c r="R260" s="455" t="s">
        <v>386</v>
      </c>
      <c r="S260" s="456"/>
      <c r="T260" s="106">
        <f>135*U261/100</f>
        <v>135</v>
      </c>
      <c r="U260" s="106">
        <f>100*U261/100</f>
        <v>100</v>
      </c>
      <c r="V260" s="106">
        <f>T260*100</f>
        <v>13500</v>
      </c>
      <c r="W260" s="106">
        <f>U260*100</f>
        <v>10000</v>
      </c>
      <c r="Y260" s="167"/>
      <c r="Z260" s="167"/>
      <c r="AA260" s="167"/>
      <c r="AB260" s="167"/>
      <c r="AC260" s="167"/>
      <c r="AD260" s="167"/>
      <c r="AE260" s="167"/>
      <c r="AF260" s="167"/>
      <c r="AG260" s="167"/>
      <c r="AH260" s="167"/>
      <c r="AI260" s="167"/>
      <c r="AJ260" s="167"/>
      <c r="AK260" s="167"/>
      <c r="AL260" s="167"/>
      <c r="AM260" s="167"/>
      <c r="AN260" s="167"/>
    </row>
    <row r="261" spans="1:40" ht="18.95" customHeight="1" x14ac:dyDescent="0.25">
      <c r="B261" s="145" t="s">
        <v>191</v>
      </c>
      <c r="C261" s="146"/>
      <c r="D261" s="106">
        <f>F261*салаты!B67/G262</f>
        <v>2.1</v>
      </c>
      <c r="E261" s="106">
        <f>G261*салаты!B67/G262</f>
        <v>2.1</v>
      </c>
      <c r="F261" s="106">
        <v>35</v>
      </c>
      <c r="G261" s="106">
        <v>35</v>
      </c>
      <c r="J261" s="455" t="s">
        <v>378</v>
      </c>
      <c r="K261" s="456"/>
      <c r="L261" s="106">
        <f>100*M262/100</f>
        <v>100</v>
      </c>
      <c r="M261" s="106">
        <f>100*M262/100</f>
        <v>100</v>
      </c>
      <c r="N261" s="106">
        <f t="shared" si="4"/>
        <v>10000</v>
      </c>
      <c r="O261" s="106">
        <f t="shared" si="4"/>
        <v>10000</v>
      </c>
      <c r="R261" s="457" t="s">
        <v>180</v>
      </c>
      <c r="S261" s="458"/>
      <c r="T261" s="118"/>
      <c r="U261" s="106">
        <f>салаты!B77</f>
        <v>100</v>
      </c>
      <c r="V261" s="106"/>
      <c r="W261" s="106">
        <f>U261*100</f>
        <v>10000</v>
      </c>
      <c r="Y261" s="167"/>
      <c r="Z261" s="167"/>
      <c r="AA261" s="167"/>
      <c r="AB261" s="167"/>
      <c r="AC261" s="167"/>
      <c r="AD261" s="167"/>
      <c r="AE261" s="167"/>
      <c r="AF261" s="167"/>
      <c r="AG261" s="167"/>
      <c r="AH261" s="167"/>
      <c r="AI261" s="167"/>
      <c r="AJ261" s="167"/>
      <c r="AK261" s="167"/>
      <c r="AL261" s="167"/>
      <c r="AM261" s="167"/>
      <c r="AN261" s="167"/>
    </row>
    <row r="262" spans="1:40" ht="18.95" customHeight="1" x14ac:dyDescent="0.25">
      <c r="B262" s="457" t="s">
        <v>180</v>
      </c>
      <c r="C262" s="458"/>
      <c r="D262" s="118"/>
      <c r="E262" s="106">
        <f>G262*салаты!B67/G262</f>
        <v>60</v>
      </c>
      <c r="F262" s="106"/>
      <c r="G262" s="106">
        <v>1000</v>
      </c>
      <c r="J262" s="457" t="s">
        <v>180</v>
      </c>
      <c r="K262" s="458"/>
      <c r="L262" s="118"/>
      <c r="M262" s="106">
        <f>салаты!B75</f>
        <v>100</v>
      </c>
      <c r="N262" s="118"/>
      <c r="O262" s="106">
        <f>M262*100</f>
        <v>10000</v>
      </c>
      <c r="Y262" s="167"/>
      <c r="Z262" s="167"/>
      <c r="AA262" s="167"/>
      <c r="AB262" s="167"/>
      <c r="AC262" s="167"/>
      <c r="AD262" s="167"/>
      <c r="AE262" s="167"/>
      <c r="AF262" s="167"/>
      <c r="AG262" s="167"/>
      <c r="AH262" s="167"/>
      <c r="AI262" s="167"/>
      <c r="AJ262" s="167"/>
      <c r="AK262" s="167"/>
      <c r="AL262" s="167"/>
      <c r="AM262" s="167"/>
      <c r="AN262" s="167"/>
    </row>
    <row r="263" spans="1:40" ht="18.95" customHeight="1" x14ac:dyDescent="0.25">
      <c r="P263" s="199"/>
      <c r="Q263" s="459" t="s">
        <v>387</v>
      </c>
      <c r="R263" s="459"/>
      <c r="S263" s="459"/>
      <c r="T263" s="459"/>
      <c r="U263" s="459"/>
      <c r="V263" s="459"/>
      <c r="W263" s="459"/>
      <c r="X263" s="459"/>
      <c r="Y263" s="167"/>
      <c r="Z263" s="167"/>
      <c r="AA263" s="167"/>
      <c r="AB263" s="167"/>
      <c r="AC263" s="167"/>
      <c r="AD263" s="167"/>
      <c r="AE263" s="167"/>
      <c r="AF263" s="167"/>
      <c r="AG263" s="167"/>
      <c r="AH263" s="167"/>
      <c r="AI263" s="167"/>
      <c r="AJ263" s="167"/>
      <c r="AK263" s="167"/>
      <c r="AL263" s="167"/>
      <c r="AM263" s="167"/>
      <c r="AN263" s="167"/>
    </row>
    <row r="264" spans="1:40" ht="18.95" customHeight="1" x14ac:dyDescent="0.25">
      <c r="A264" s="459" t="s">
        <v>372</v>
      </c>
      <c r="B264" s="459"/>
      <c r="C264" s="459"/>
      <c r="D264" s="459"/>
      <c r="E264" s="459"/>
      <c r="F264" s="459"/>
      <c r="G264" s="459"/>
      <c r="H264" s="459"/>
      <c r="I264" s="459" t="s">
        <v>379</v>
      </c>
      <c r="J264" s="459"/>
      <c r="K264" s="459"/>
      <c r="L264" s="459"/>
      <c r="M264" s="459"/>
      <c r="N264" s="459"/>
      <c r="O264" s="459"/>
      <c r="P264" s="461"/>
      <c r="Q264" s="147" t="s">
        <v>182</v>
      </c>
      <c r="R264" s="147" t="s">
        <v>106</v>
      </c>
      <c r="S264" s="115" t="s">
        <v>107</v>
      </c>
      <c r="T264" s="116" t="s">
        <v>187</v>
      </c>
      <c r="U264" s="147" t="s">
        <v>183</v>
      </c>
      <c r="V264" s="147" t="s">
        <v>184</v>
      </c>
      <c r="W264" s="147" t="s">
        <v>185</v>
      </c>
      <c r="X264" s="185" t="s">
        <v>186</v>
      </c>
      <c r="Y264" s="167"/>
      <c r="Z264" s="167"/>
      <c r="AA264" s="167"/>
      <c r="AB264" s="167"/>
      <c r="AC264" s="167"/>
      <c r="AD264" s="167"/>
      <c r="AE264" s="167"/>
      <c r="AF264" s="167"/>
      <c r="AG264" s="167"/>
      <c r="AH264" s="167"/>
      <c r="AI264" s="167"/>
      <c r="AJ264" s="167"/>
      <c r="AK264" s="167"/>
      <c r="AL264" s="167"/>
      <c r="AM264" s="167"/>
      <c r="AN264" s="167"/>
    </row>
    <row r="265" spans="1:40" ht="18.95" customHeight="1" x14ac:dyDescent="0.25">
      <c r="A265" s="147" t="s">
        <v>182</v>
      </c>
      <c r="B265" s="147" t="s">
        <v>106</v>
      </c>
      <c r="C265" s="115" t="s">
        <v>107</v>
      </c>
      <c r="D265" s="116" t="s">
        <v>187</v>
      </c>
      <c r="E265" s="147" t="s">
        <v>183</v>
      </c>
      <c r="F265" s="147" t="s">
        <v>184</v>
      </c>
      <c r="G265" s="147" t="s">
        <v>185</v>
      </c>
      <c r="H265" s="149" t="s">
        <v>186</v>
      </c>
      <c r="I265" s="147" t="s">
        <v>182</v>
      </c>
      <c r="J265" s="147" t="s">
        <v>106</v>
      </c>
      <c r="K265" s="115" t="s">
        <v>107</v>
      </c>
      <c r="L265" s="116" t="s">
        <v>187</v>
      </c>
      <c r="M265" s="147" t="s">
        <v>183</v>
      </c>
      <c r="N265" s="147" t="s">
        <v>184</v>
      </c>
      <c r="O265" s="147" t="s">
        <v>185</v>
      </c>
      <c r="P265" s="147" t="s">
        <v>186</v>
      </c>
      <c r="Q265" s="41">
        <f>салаты!E77</f>
        <v>0.78260869565217395</v>
      </c>
      <c r="R265" s="41">
        <f>салаты!F77</f>
        <v>0.17391304347826086</v>
      </c>
      <c r="S265" s="41">
        <f>салаты!G77</f>
        <v>20.086956521739129</v>
      </c>
      <c r="T265" s="41">
        <f>салаты!H77</f>
        <v>89.565217391304344</v>
      </c>
      <c r="U265" s="41">
        <f>салаты!M77</f>
        <v>30.434782608695652</v>
      </c>
      <c r="V265" s="41">
        <f>салаты!O77</f>
        <v>11.304347826086957</v>
      </c>
      <c r="W265" s="41">
        <f>салаты!P77</f>
        <v>0.2608695652173913</v>
      </c>
      <c r="X265" s="41">
        <f>салаты!J77</f>
        <v>52.173913043478258</v>
      </c>
      <c r="Y265" s="167"/>
      <c r="Z265" s="167"/>
      <c r="AA265" s="167"/>
      <c r="AB265" s="167"/>
      <c r="AC265" s="167"/>
      <c r="AD265" s="167"/>
      <c r="AE265" s="167"/>
      <c r="AF265" s="167"/>
      <c r="AG265" s="167"/>
      <c r="AH265" s="167"/>
      <c r="AI265" s="167"/>
      <c r="AJ265" s="167"/>
      <c r="AK265" s="167"/>
      <c r="AL265" s="167"/>
      <c r="AM265" s="167"/>
      <c r="AN265" s="167"/>
    </row>
    <row r="266" spans="1:40" ht="18.95" customHeight="1" x14ac:dyDescent="0.25">
      <c r="A266" s="41">
        <f>салаты!E67</f>
        <v>1.7310000000000001</v>
      </c>
      <c r="B266" s="41">
        <f>салаты!F67</f>
        <v>1.6343999999999999</v>
      </c>
      <c r="C266" s="41">
        <f>салаты!G67</f>
        <v>3.4716</v>
      </c>
      <c r="D266" s="41">
        <f>салаты!H67</f>
        <v>35.520000000000003</v>
      </c>
      <c r="E266" s="41">
        <f>салаты!M67</f>
        <v>14.352</v>
      </c>
      <c r="F266" s="41">
        <f>салаты!O67</f>
        <v>1210.56</v>
      </c>
      <c r="G266" s="41">
        <f>салаты!P67</f>
        <v>0.42059999999999997</v>
      </c>
      <c r="H266" s="41">
        <f>салаты!J67</f>
        <v>5.82</v>
      </c>
      <c r="I266" s="41">
        <f>салаты!E73</f>
        <v>0.4</v>
      </c>
      <c r="J266" s="41">
        <f>салаты!F73</f>
        <v>0.4</v>
      </c>
      <c r="K266" s="41">
        <f>салаты!G73</f>
        <v>9.8000000000000007</v>
      </c>
      <c r="L266" s="41">
        <f>салаты!H73</f>
        <v>47</v>
      </c>
      <c r="M266" s="41">
        <f>салаты!M73</f>
        <v>16</v>
      </c>
      <c r="N266" s="41">
        <f>салаты!O73</f>
        <v>9</v>
      </c>
      <c r="O266" s="41">
        <f>салаты!P73</f>
        <v>2.2000000000000002</v>
      </c>
      <c r="P266" s="41">
        <f>салаты!J73</f>
        <v>10</v>
      </c>
      <c r="Y266" s="167"/>
      <c r="Z266" s="167"/>
      <c r="AA266" s="167"/>
      <c r="AB266" s="167"/>
      <c r="AC266" s="167"/>
      <c r="AD266" s="167"/>
      <c r="AE266" s="167"/>
      <c r="AF266" s="167"/>
      <c r="AG266" s="167"/>
      <c r="AH266" s="167"/>
      <c r="AI266" s="167"/>
      <c r="AJ266" s="167"/>
      <c r="AK266" s="167"/>
      <c r="AL266" s="167"/>
      <c r="AM266" s="167"/>
      <c r="AN266" s="167"/>
    </row>
    <row r="267" spans="1:40" ht="18.95" customHeight="1" x14ac:dyDescent="0.25">
      <c r="P267" s="198"/>
      <c r="Q267" s="459" t="s">
        <v>388</v>
      </c>
      <c r="R267" s="459"/>
      <c r="S267" s="459"/>
      <c r="T267" s="459"/>
      <c r="U267" s="459"/>
      <c r="V267" s="459"/>
      <c r="W267" s="459"/>
      <c r="X267" s="459"/>
      <c r="Y267" s="167"/>
      <c r="Z267" s="167"/>
      <c r="AA267" s="167"/>
      <c r="AB267" s="167"/>
      <c r="AC267" s="167"/>
      <c r="AD267" s="167"/>
      <c r="AE267" s="167"/>
      <c r="AF267" s="167"/>
      <c r="AG267" s="167"/>
      <c r="AH267" s="167"/>
      <c r="AI267" s="167"/>
      <c r="AJ267" s="167"/>
      <c r="AK267" s="167"/>
      <c r="AL267" s="167"/>
      <c r="AM267" s="167"/>
      <c r="AN267" s="167"/>
    </row>
    <row r="268" spans="1:40" ht="18.95" customHeight="1" x14ac:dyDescent="0.25">
      <c r="A268" s="459" t="s">
        <v>373</v>
      </c>
      <c r="B268" s="459"/>
      <c r="C268" s="459"/>
      <c r="D268" s="459"/>
      <c r="E268" s="459"/>
      <c r="F268" s="459"/>
      <c r="G268" s="459"/>
      <c r="H268" s="459"/>
      <c r="I268" s="459" t="s">
        <v>380</v>
      </c>
      <c r="J268" s="459"/>
      <c r="K268" s="459"/>
      <c r="L268" s="459"/>
      <c r="M268" s="459"/>
      <c r="N268" s="459"/>
      <c r="O268" s="459"/>
      <c r="P268" s="461"/>
      <c r="Q268" s="147" t="s">
        <v>182</v>
      </c>
      <c r="R268" s="147" t="s">
        <v>106</v>
      </c>
      <c r="S268" s="115" t="s">
        <v>107</v>
      </c>
      <c r="T268" s="116" t="s">
        <v>187</v>
      </c>
      <c r="U268" s="147" t="s">
        <v>183</v>
      </c>
      <c r="V268" s="147" t="s">
        <v>184</v>
      </c>
      <c r="W268" s="147" t="s">
        <v>185</v>
      </c>
      <c r="X268" s="185" t="s">
        <v>186</v>
      </c>
      <c r="Y268" s="167"/>
      <c r="Z268" s="167"/>
      <c r="AA268" s="167"/>
      <c r="AB268" s="167"/>
      <c r="AC268" s="167"/>
      <c r="AD268" s="167"/>
      <c r="AE268" s="167"/>
      <c r="AF268" s="167"/>
      <c r="AG268" s="167"/>
      <c r="AH268" s="167"/>
      <c r="AI268" s="167"/>
      <c r="AJ268" s="167"/>
      <c r="AK268" s="167"/>
      <c r="AL268" s="167"/>
      <c r="AM268" s="167"/>
      <c r="AN268" s="167"/>
    </row>
    <row r="269" spans="1:40" ht="18.95" customHeight="1" x14ac:dyDescent="0.25">
      <c r="A269" s="147" t="s">
        <v>182</v>
      </c>
      <c r="B269" s="147" t="s">
        <v>106</v>
      </c>
      <c r="C269" s="115" t="s">
        <v>107</v>
      </c>
      <c r="D269" s="116" t="s">
        <v>187</v>
      </c>
      <c r="E269" s="147" t="s">
        <v>183</v>
      </c>
      <c r="F269" s="147" t="s">
        <v>184</v>
      </c>
      <c r="G269" s="147" t="s">
        <v>185</v>
      </c>
      <c r="H269" s="149" t="s">
        <v>186</v>
      </c>
      <c r="I269" s="147" t="s">
        <v>182</v>
      </c>
      <c r="J269" s="147" t="s">
        <v>106</v>
      </c>
      <c r="K269" s="115" t="s">
        <v>107</v>
      </c>
      <c r="L269" s="116" t="s">
        <v>187</v>
      </c>
      <c r="M269" s="147" t="s">
        <v>183</v>
      </c>
      <c r="N269" s="147" t="s">
        <v>184</v>
      </c>
      <c r="O269" s="147" t="s">
        <v>185</v>
      </c>
      <c r="P269" s="147" t="s">
        <v>186</v>
      </c>
      <c r="Q269" s="41">
        <f>салаты!E79</f>
        <v>0.69565217391304346</v>
      </c>
      <c r="R269" s="41">
        <f>салаты!F79</f>
        <v>0.17391304347826086</v>
      </c>
      <c r="S269" s="41">
        <f>салаты!G79</f>
        <v>19.565217391304348</v>
      </c>
      <c r="T269" s="41">
        <f>салаты!H79</f>
        <v>85.217391304347828</v>
      </c>
      <c r="U269" s="41">
        <f>салаты!M79</f>
        <v>31.304347826086957</v>
      </c>
      <c r="V269" s="41">
        <f>салаты!O79</f>
        <v>9.5652173913043477</v>
      </c>
      <c r="W269" s="41">
        <f>салаты!P79</f>
        <v>8.6956521739130432E-2</v>
      </c>
      <c r="X269" s="41">
        <f>салаты!J79</f>
        <v>33.043478260869563</v>
      </c>
      <c r="Y269" s="167"/>
      <c r="Z269" s="167"/>
      <c r="AA269" s="167"/>
      <c r="AB269" s="167"/>
      <c r="AC269" s="167"/>
      <c r="AD269" s="167"/>
      <c r="AE269" s="167"/>
      <c r="AF269" s="167"/>
      <c r="AG269" s="167"/>
      <c r="AH269" s="167"/>
      <c r="AI269" s="167"/>
      <c r="AJ269" s="167"/>
      <c r="AK269" s="167"/>
      <c r="AL269" s="167"/>
      <c r="AM269" s="167"/>
      <c r="AN269" s="167"/>
    </row>
    <row r="270" spans="1:40" ht="18.95" customHeight="1" x14ac:dyDescent="0.25">
      <c r="A270" s="41">
        <f>салаты!E69</f>
        <v>1.2330000000000001</v>
      </c>
      <c r="B270" s="41">
        <f>салаты!F69</f>
        <v>1.746</v>
      </c>
      <c r="C270" s="41">
        <f>салаты!G69</f>
        <v>5.8733999999999993</v>
      </c>
      <c r="D270" s="41">
        <f>салаты!H69</f>
        <v>44.16</v>
      </c>
      <c r="E270" s="41">
        <f>салаты!M69</f>
        <v>5.6219999999999999</v>
      </c>
      <c r="F270" s="41">
        <f>салаты!O69</f>
        <v>0.12960000000000002</v>
      </c>
      <c r="G270" s="41">
        <f>салаты!P69</f>
        <v>0.24960000000000002</v>
      </c>
      <c r="H270" s="41">
        <f>салаты!J69</f>
        <v>2.7936000000000005</v>
      </c>
      <c r="I270" s="41">
        <v>0.4</v>
      </c>
      <c r="J270" s="41">
        <v>0.3</v>
      </c>
      <c r="K270" s="41">
        <v>10.3</v>
      </c>
      <c r="L270" s="41">
        <v>47</v>
      </c>
      <c r="M270" s="41">
        <v>19</v>
      </c>
      <c r="N270" s="41">
        <v>12</v>
      </c>
      <c r="O270" s="41">
        <v>2.2999999999999998</v>
      </c>
      <c r="P270" s="41">
        <v>5</v>
      </c>
      <c r="Y270" s="167"/>
      <c r="Z270" s="167"/>
      <c r="AA270" s="167"/>
      <c r="AB270" s="167"/>
      <c r="AC270" s="167"/>
      <c r="AD270" s="167"/>
      <c r="AE270" s="167"/>
      <c r="AF270" s="167"/>
      <c r="AG270" s="167"/>
      <c r="AH270" s="167"/>
      <c r="AI270" s="167"/>
      <c r="AJ270" s="167"/>
      <c r="AK270" s="167"/>
      <c r="AL270" s="167"/>
      <c r="AM270" s="167"/>
      <c r="AN270" s="167"/>
    </row>
    <row r="271" spans="1:40" ht="18.95" customHeight="1" x14ac:dyDescent="0.25">
      <c r="Q271" s="462" t="s">
        <v>389</v>
      </c>
      <c r="R271" s="462"/>
      <c r="S271" s="462"/>
      <c r="T271" s="462"/>
      <c r="U271" s="462"/>
      <c r="V271" s="462"/>
      <c r="W271" s="462"/>
      <c r="X271" s="462"/>
      <c r="Y271" s="167"/>
      <c r="Z271" s="167"/>
      <c r="AA271" s="167"/>
      <c r="AB271" s="167"/>
      <c r="AC271" s="167"/>
      <c r="AD271" s="167"/>
      <c r="AE271" s="167"/>
      <c r="AF271" s="167"/>
      <c r="AG271" s="167"/>
      <c r="AH271" s="167"/>
      <c r="AI271" s="167"/>
      <c r="AJ271" s="167"/>
      <c r="AK271" s="167"/>
      <c r="AL271" s="167"/>
      <c r="AM271" s="167"/>
      <c r="AN271" s="167"/>
    </row>
    <row r="272" spans="1:40" ht="18.95" customHeight="1" x14ac:dyDescent="0.25">
      <c r="A272" s="462" t="s">
        <v>374</v>
      </c>
      <c r="B272" s="462"/>
      <c r="C272" s="462"/>
      <c r="D272" s="462"/>
      <c r="E272" s="462"/>
      <c r="F272" s="462"/>
      <c r="G272" s="462"/>
      <c r="H272" s="462"/>
      <c r="I272" s="459" t="s">
        <v>381</v>
      </c>
      <c r="J272" s="459"/>
      <c r="K272" s="459"/>
      <c r="L272" s="459"/>
      <c r="M272" s="459"/>
      <c r="N272" s="459"/>
      <c r="O272" s="459"/>
      <c r="P272" s="459"/>
      <c r="Q272" s="462"/>
      <c r="R272" s="462"/>
      <c r="S272" s="462"/>
      <c r="T272" s="462"/>
      <c r="U272" s="462"/>
      <c r="V272" s="462"/>
      <c r="W272" s="462"/>
      <c r="X272" s="462"/>
      <c r="Y272" s="167"/>
      <c r="Z272" s="167"/>
      <c r="AA272" s="167"/>
      <c r="AB272" s="167"/>
      <c r="AC272" s="167"/>
      <c r="AD272" s="167"/>
      <c r="AE272" s="167"/>
      <c r="AF272" s="167"/>
      <c r="AG272" s="167"/>
      <c r="AH272" s="167"/>
      <c r="AI272" s="167"/>
      <c r="AJ272" s="167"/>
      <c r="AK272" s="167"/>
      <c r="AL272" s="167"/>
      <c r="AM272" s="167"/>
      <c r="AN272" s="167"/>
    </row>
    <row r="273" spans="1:40" ht="18.95" customHeight="1" x14ac:dyDescent="0.25">
      <c r="A273" s="119"/>
      <c r="B273" s="119"/>
      <c r="C273" s="119"/>
      <c r="D273" s="119"/>
      <c r="E273" s="119"/>
      <c r="F273" s="119"/>
      <c r="G273" s="119"/>
      <c r="H273" s="119"/>
      <c r="I273" s="147" t="s">
        <v>182</v>
      </c>
      <c r="J273" s="147" t="s">
        <v>106</v>
      </c>
      <c r="K273" s="115" t="s">
        <v>107</v>
      </c>
      <c r="L273" s="116" t="s">
        <v>187</v>
      </c>
      <c r="M273" s="147" t="s">
        <v>183</v>
      </c>
      <c r="N273" s="147" t="s">
        <v>184</v>
      </c>
      <c r="O273" s="147" t="s">
        <v>185</v>
      </c>
      <c r="P273" s="147" t="s">
        <v>186</v>
      </c>
      <c r="Q273" s="119"/>
      <c r="R273" s="119"/>
      <c r="S273" s="119"/>
      <c r="T273" s="119"/>
      <c r="U273" s="119"/>
      <c r="V273" s="119"/>
      <c r="W273" s="119"/>
      <c r="X273" s="119"/>
      <c r="Y273" s="167"/>
      <c r="Z273" s="167"/>
      <c r="AA273" s="167"/>
      <c r="AB273" s="167"/>
      <c r="AC273" s="167"/>
      <c r="AD273" s="167"/>
      <c r="AE273" s="167"/>
      <c r="AF273" s="167"/>
      <c r="AG273" s="167"/>
      <c r="AH273" s="167"/>
      <c r="AI273" s="167"/>
      <c r="AJ273" s="167"/>
      <c r="AK273" s="167"/>
      <c r="AL273" s="167"/>
      <c r="AM273" s="167"/>
      <c r="AN273" s="167"/>
    </row>
    <row r="274" spans="1:40" ht="18.95" customHeight="1" x14ac:dyDescent="0.25">
      <c r="A274" s="454" t="s">
        <v>232</v>
      </c>
      <c r="B274" s="454"/>
      <c r="C274" s="454"/>
      <c r="D274" s="119"/>
      <c r="E274" s="119"/>
      <c r="F274" s="119"/>
      <c r="G274" s="119"/>
      <c r="H274" s="119"/>
      <c r="I274" s="41">
        <f>салаты!E71</f>
        <v>1.5</v>
      </c>
      <c r="J274" s="41">
        <f>салаты!F71</f>
        <v>0.5</v>
      </c>
      <c r="K274" s="41">
        <f>салаты!G71</f>
        <v>21</v>
      </c>
      <c r="L274" s="41">
        <f>салаты!H71</f>
        <v>96</v>
      </c>
      <c r="M274" s="41">
        <f>салаты!M71</f>
        <v>8</v>
      </c>
      <c r="N274" s="41">
        <f>салаты!O71</f>
        <v>42</v>
      </c>
      <c r="O274" s="41">
        <f>салаты!P71</f>
        <v>0.6</v>
      </c>
      <c r="P274" s="41">
        <f>салаты!J71</f>
        <v>10</v>
      </c>
      <c r="Q274" s="454" t="s">
        <v>232</v>
      </c>
      <c r="R274" s="454"/>
      <c r="S274" s="454"/>
      <c r="Y274" s="167"/>
      <c r="Z274" s="167"/>
      <c r="AA274" s="167"/>
      <c r="AB274" s="167"/>
      <c r="AC274" s="167"/>
      <c r="AD274" s="167"/>
      <c r="AE274" s="167"/>
      <c r="AF274" s="167"/>
      <c r="AG274" s="167"/>
      <c r="AH274" s="167"/>
      <c r="AI274" s="167"/>
      <c r="AJ274" s="167"/>
      <c r="AK274" s="167"/>
      <c r="AL274" s="167"/>
      <c r="AM274" s="167"/>
      <c r="AN274" s="167"/>
    </row>
    <row r="275" spans="1:40" ht="18.95" customHeight="1" x14ac:dyDescent="0.25">
      <c r="A275" s="119"/>
      <c r="B275" s="119"/>
      <c r="C275" s="119"/>
      <c r="D275" s="119"/>
      <c r="E275" s="119"/>
      <c r="F275" s="119"/>
      <c r="G275" s="119"/>
      <c r="H275" s="119"/>
      <c r="Y275" s="167"/>
      <c r="Z275" s="167"/>
      <c r="AA275" s="167"/>
      <c r="AB275" s="167"/>
      <c r="AC275" s="167"/>
      <c r="AD275" s="167"/>
      <c r="AE275" s="167"/>
      <c r="AF275" s="167"/>
      <c r="AG275" s="167"/>
      <c r="AH275" s="167"/>
      <c r="AI275" s="167"/>
      <c r="AJ275" s="167"/>
      <c r="AK275" s="167"/>
      <c r="AL275" s="167"/>
      <c r="AM275" s="167"/>
      <c r="AN275" s="167"/>
    </row>
    <row r="276" spans="1:40" ht="18.95" customHeight="1" x14ac:dyDescent="0.25">
      <c r="I276" s="462" t="s">
        <v>382</v>
      </c>
      <c r="J276" s="462"/>
      <c r="K276" s="462"/>
      <c r="L276" s="462"/>
      <c r="M276" s="462"/>
      <c r="N276" s="462"/>
      <c r="O276" s="462"/>
      <c r="P276" s="462"/>
      <c r="Y276" s="167"/>
      <c r="Z276" s="167"/>
      <c r="AA276" s="167"/>
      <c r="AB276" s="167"/>
      <c r="AC276" s="167"/>
      <c r="AD276" s="167"/>
      <c r="AE276" s="167"/>
      <c r="AF276" s="167"/>
      <c r="AG276" s="167"/>
      <c r="AH276" s="167"/>
      <c r="AI276" s="167"/>
      <c r="AJ276" s="167"/>
      <c r="AK276" s="167"/>
      <c r="AL276" s="167"/>
      <c r="AM276" s="167"/>
      <c r="AN276" s="167"/>
    </row>
    <row r="277" spans="1:40" ht="18.95" customHeight="1" x14ac:dyDescent="0.25">
      <c r="I277" s="119"/>
      <c r="J277" s="119"/>
      <c r="K277" s="119"/>
      <c r="L277" s="119"/>
      <c r="M277" s="119"/>
      <c r="N277" s="119"/>
      <c r="O277" s="119"/>
      <c r="P277" s="119"/>
      <c r="Y277" s="167"/>
      <c r="Z277" s="167"/>
      <c r="AA277" s="167"/>
      <c r="AB277" s="167"/>
      <c r="AC277" s="167"/>
      <c r="AD277" s="167"/>
      <c r="AE277" s="167"/>
      <c r="AF277" s="167"/>
      <c r="AG277" s="167"/>
      <c r="AH277" s="167"/>
      <c r="AI277" s="167"/>
      <c r="AJ277" s="167"/>
      <c r="AK277" s="167"/>
      <c r="AL277" s="167"/>
      <c r="AM277" s="167"/>
      <c r="AN277" s="167"/>
    </row>
    <row r="278" spans="1:40" ht="18.95" customHeight="1" x14ac:dyDescent="0.25">
      <c r="I278" s="454" t="s">
        <v>232</v>
      </c>
      <c r="J278" s="454"/>
      <c r="K278" s="454"/>
      <c r="L278" s="119"/>
      <c r="M278" s="119"/>
      <c r="N278" s="119"/>
      <c r="O278" s="119"/>
      <c r="P278" s="119"/>
      <c r="Y278" s="167"/>
      <c r="Z278" s="167"/>
      <c r="AA278" s="167"/>
      <c r="AB278" s="167"/>
      <c r="AC278" s="167"/>
      <c r="AD278" s="167"/>
      <c r="AE278" s="167"/>
      <c r="AF278" s="167"/>
      <c r="AG278" s="167"/>
      <c r="AH278" s="167"/>
      <c r="AI278" s="167"/>
      <c r="AJ278" s="167"/>
      <c r="AK278" s="167"/>
      <c r="AL278" s="167"/>
      <c r="AM278" s="167"/>
      <c r="AN278" s="167"/>
    </row>
    <row r="279" spans="1:40" ht="18.95" customHeight="1" x14ac:dyDescent="0.25">
      <c r="A279" s="119"/>
      <c r="B279" s="119"/>
      <c r="C279" s="119"/>
      <c r="D279" s="119"/>
      <c r="E279" s="119"/>
      <c r="F279" s="119"/>
      <c r="G279" s="119"/>
      <c r="H279" s="119"/>
      <c r="Y279" s="167"/>
      <c r="Z279" s="167"/>
      <c r="AA279" s="167"/>
      <c r="AB279" s="167"/>
      <c r="AC279" s="167"/>
      <c r="AD279" s="167"/>
      <c r="AE279" s="167"/>
      <c r="AF279" s="167"/>
      <c r="AG279" s="167"/>
      <c r="AH279" s="167"/>
      <c r="AI279" s="167"/>
      <c r="AJ279" s="167"/>
      <c r="AK279" s="167"/>
      <c r="AL279" s="167"/>
      <c r="AM279" s="167"/>
      <c r="AN279" s="167"/>
    </row>
    <row r="280" spans="1:40" ht="18.95" customHeight="1" x14ac:dyDescent="0.25">
      <c r="A280" s="119"/>
      <c r="B280" s="119"/>
      <c r="C280" s="119"/>
      <c r="D280" s="119"/>
      <c r="E280" s="119"/>
      <c r="F280" s="119"/>
      <c r="G280" s="119"/>
      <c r="H280" s="119"/>
      <c r="Y280" s="167"/>
      <c r="Z280" s="167"/>
      <c r="AA280" s="167"/>
      <c r="AB280" s="167"/>
      <c r="AC280" s="167"/>
      <c r="AD280" s="167"/>
      <c r="AE280" s="167"/>
      <c r="AF280" s="167"/>
      <c r="AG280" s="167"/>
      <c r="AH280" s="167"/>
      <c r="AI280" s="167"/>
      <c r="AJ280" s="167"/>
      <c r="AK280" s="167"/>
      <c r="AL280" s="167"/>
      <c r="AM280" s="167"/>
      <c r="AN280" s="167"/>
    </row>
    <row r="281" spans="1:40" ht="18.95" customHeight="1" x14ac:dyDescent="0.25">
      <c r="Y281" s="167"/>
      <c r="Z281" s="167"/>
      <c r="AA281" s="167"/>
      <c r="AB281" s="167"/>
      <c r="AC281" s="167"/>
      <c r="AD281" s="167"/>
      <c r="AE281" s="167"/>
      <c r="AF281" s="167"/>
      <c r="AG281" s="167"/>
      <c r="AH281" s="167"/>
      <c r="AI281" s="167"/>
      <c r="AJ281" s="167"/>
      <c r="AK281" s="167"/>
      <c r="AL281" s="167"/>
      <c r="AM281" s="167"/>
      <c r="AN281" s="167"/>
    </row>
    <row r="282" spans="1:40" ht="18.95" customHeight="1" x14ac:dyDescent="0.25">
      <c r="Y282" s="167"/>
      <c r="Z282" s="167"/>
      <c r="AA282" s="167"/>
      <c r="AB282" s="167"/>
      <c r="AC282" s="167"/>
      <c r="AD282" s="167"/>
      <c r="AE282" s="167"/>
      <c r="AF282" s="167"/>
      <c r="AG282" s="167"/>
      <c r="AH282" s="167"/>
      <c r="AI282" s="167"/>
      <c r="AJ282" s="167"/>
      <c r="AK282" s="167"/>
      <c r="AL282" s="167"/>
      <c r="AM282" s="167"/>
      <c r="AN282" s="167"/>
    </row>
    <row r="283" spans="1:40" ht="18.95" customHeight="1" x14ac:dyDescent="0.25">
      <c r="Y283" s="167"/>
      <c r="Z283" s="167"/>
      <c r="AA283" s="167"/>
      <c r="AB283" s="167"/>
      <c r="AC283" s="167"/>
      <c r="AD283" s="167"/>
      <c r="AE283" s="167"/>
      <c r="AF283" s="167"/>
      <c r="AG283" s="167"/>
      <c r="AH283" s="167"/>
      <c r="AI283" s="167"/>
      <c r="AJ283" s="167"/>
      <c r="AK283" s="167"/>
      <c r="AL283" s="167"/>
      <c r="AM283" s="167"/>
      <c r="AN283" s="167"/>
    </row>
    <row r="284" spans="1:40" ht="18.95" customHeight="1" x14ac:dyDescent="0.25">
      <c r="Y284" s="167"/>
      <c r="Z284" s="167"/>
      <c r="AA284" s="167"/>
      <c r="AB284" s="167"/>
      <c r="AC284" s="167"/>
      <c r="AD284" s="167"/>
      <c r="AE284" s="167"/>
      <c r="AF284" s="167"/>
      <c r="AG284" s="167"/>
      <c r="AH284" s="167"/>
      <c r="AI284" s="167"/>
      <c r="AJ284" s="167"/>
      <c r="AK284" s="167"/>
      <c r="AL284" s="167"/>
      <c r="AM284" s="167"/>
      <c r="AN284" s="167"/>
    </row>
    <row r="285" spans="1:40" ht="18.95" customHeight="1" x14ac:dyDescent="0.25">
      <c r="Y285" s="167"/>
      <c r="Z285" s="167"/>
      <c r="AA285" s="167"/>
      <c r="AB285" s="167"/>
      <c r="AC285" s="167"/>
      <c r="AD285" s="167"/>
      <c r="AE285" s="167"/>
      <c r="AF285" s="167"/>
      <c r="AG285" s="167"/>
      <c r="AH285" s="167"/>
      <c r="AI285" s="167"/>
      <c r="AJ285" s="167"/>
      <c r="AK285" s="167"/>
      <c r="AL285" s="167"/>
      <c r="AM285" s="167"/>
      <c r="AN285" s="167"/>
    </row>
    <row r="286" spans="1:40" ht="18.95" customHeight="1" x14ac:dyDescent="0.25">
      <c r="Y286" s="167"/>
      <c r="Z286" s="167"/>
      <c r="AA286" s="167"/>
      <c r="AB286" s="167"/>
      <c r="AC286" s="167"/>
      <c r="AD286" s="167"/>
      <c r="AE286" s="167"/>
      <c r="AF286" s="167"/>
      <c r="AG286" s="167"/>
      <c r="AH286" s="167"/>
      <c r="AI286" s="167"/>
      <c r="AJ286" s="167"/>
      <c r="AK286" s="167"/>
      <c r="AL286" s="167"/>
      <c r="AM286" s="167"/>
      <c r="AN286" s="167"/>
    </row>
    <row r="287" spans="1:40" ht="18.95" customHeight="1" x14ac:dyDescent="0.25">
      <c r="Y287" s="167"/>
      <c r="Z287" s="167"/>
      <c r="AA287" s="167"/>
      <c r="AB287" s="167"/>
      <c r="AC287" s="167"/>
      <c r="AD287" s="167"/>
      <c r="AE287" s="167"/>
      <c r="AF287" s="167"/>
      <c r="AG287" s="167"/>
      <c r="AH287" s="167"/>
      <c r="AI287" s="167"/>
      <c r="AJ287" s="167"/>
      <c r="AK287" s="167"/>
      <c r="AL287" s="167"/>
      <c r="AM287" s="167"/>
      <c r="AN287" s="167"/>
    </row>
    <row r="288" spans="1:40" ht="18.95" customHeight="1" x14ac:dyDescent="0.25">
      <c r="Y288" s="167"/>
      <c r="Z288" s="167"/>
      <c r="AA288" s="167"/>
      <c r="AB288" s="167"/>
      <c r="AC288" s="167"/>
      <c r="AD288" s="167"/>
      <c r="AE288" s="167"/>
      <c r="AF288" s="167"/>
      <c r="AG288" s="167"/>
      <c r="AH288" s="167"/>
      <c r="AI288" s="167"/>
      <c r="AJ288" s="167"/>
      <c r="AK288" s="167"/>
      <c r="AL288" s="167"/>
      <c r="AM288" s="167"/>
      <c r="AN288" s="167"/>
    </row>
    <row r="289" spans="25:40" ht="18.95" customHeight="1" x14ac:dyDescent="0.25">
      <c r="Y289" s="167"/>
      <c r="Z289" s="167"/>
      <c r="AA289" s="167"/>
      <c r="AB289" s="167"/>
      <c r="AC289" s="167"/>
      <c r="AD289" s="167"/>
      <c r="AE289" s="167"/>
      <c r="AF289" s="167"/>
      <c r="AG289" s="167"/>
      <c r="AH289" s="167"/>
      <c r="AI289" s="167"/>
      <c r="AJ289" s="167"/>
      <c r="AK289" s="167"/>
      <c r="AL289" s="167"/>
      <c r="AM289" s="167"/>
      <c r="AN289" s="167"/>
    </row>
    <row r="290" spans="25:40" ht="18.95" customHeight="1" x14ac:dyDescent="0.25"/>
    <row r="291" spans="25:40" ht="18.95" customHeight="1" x14ac:dyDescent="0.25"/>
  </sheetData>
  <mergeCells count="657">
    <mergeCell ref="Q274:S274"/>
    <mergeCell ref="A268:H268"/>
    <mergeCell ref="A272:H272"/>
    <mergeCell ref="A274:C274"/>
    <mergeCell ref="I268:P268"/>
    <mergeCell ref="I272:P272"/>
    <mergeCell ref="I276:P276"/>
    <mergeCell ref="I278:K278"/>
    <mergeCell ref="Q271:X272"/>
    <mergeCell ref="Q267:X267"/>
    <mergeCell ref="A264:H264"/>
    <mergeCell ref="I264:P264"/>
    <mergeCell ref="J261:K261"/>
    <mergeCell ref="R261:S261"/>
    <mergeCell ref="B262:C262"/>
    <mergeCell ref="Q263:X263"/>
    <mergeCell ref="J262:K262"/>
    <mergeCell ref="B259:C259"/>
    <mergeCell ref="J259:K259"/>
    <mergeCell ref="R259:S259"/>
    <mergeCell ref="B260:C260"/>
    <mergeCell ref="J260:K260"/>
    <mergeCell ref="R260:S260"/>
    <mergeCell ref="D257:E257"/>
    <mergeCell ref="F257:G257"/>
    <mergeCell ref="L257:M257"/>
    <mergeCell ref="N257:O257"/>
    <mergeCell ref="T257:U257"/>
    <mergeCell ref="V257:W257"/>
    <mergeCell ref="B256:C258"/>
    <mergeCell ref="D256:G256"/>
    <mergeCell ref="J256:K258"/>
    <mergeCell ref="L256:O256"/>
    <mergeCell ref="R256:S258"/>
    <mergeCell ref="T256:W256"/>
    <mergeCell ref="A253:H253"/>
    <mergeCell ref="I253:P253"/>
    <mergeCell ref="Q253:X253"/>
    <mergeCell ref="A254:H254"/>
    <mergeCell ref="I254:P254"/>
    <mergeCell ref="Q254:X254"/>
    <mergeCell ref="A251:H251"/>
    <mergeCell ref="I251:P251"/>
    <mergeCell ref="Q251:X251"/>
    <mergeCell ref="A252:H252"/>
    <mergeCell ref="I252:P252"/>
    <mergeCell ref="Q252:X252"/>
    <mergeCell ref="E248:H248"/>
    <mergeCell ref="M248:P248"/>
    <mergeCell ref="U248:X248"/>
    <mergeCell ref="A250:H250"/>
    <mergeCell ref="I250:P250"/>
    <mergeCell ref="Q250:X250"/>
    <mergeCell ref="AG221:AN221"/>
    <mergeCell ref="AG225:AN226"/>
    <mergeCell ref="A237:C237"/>
    <mergeCell ref="A247:B247"/>
    <mergeCell ref="F247:H247"/>
    <mergeCell ref="I247:J247"/>
    <mergeCell ref="N247:P247"/>
    <mergeCell ref="Q247:R247"/>
    <mergeCell ref="V247:X247"/>
    <mergeCell ref="I222:P222"/>
    <mergeCell ref="I226:P227"/>
    <mergeCell ref="I229:K229"/>
    <mergeCell ref="Q222:X222"/>
    <mergeCell ref="Q226:X226"/>
    <mergeCell ref="Q230:X232"/>
    <mergeCell ref="Q234:S234"/>
    <mergeCell ref="Y233:AA233"/>
    <mergeCell ref="B224:C224"/>
    <mergeCell ref="B225:C225"/>
    <mergeCell ref="A228:H228"/>
    <mergeCell ref="B226:C226"/>
    <mergeCell ref="A232:H235"/>
    <mergeCell ref="Y225:AF225"/>
    <mergeCell ref="Y229:AF231"/>
    <mergeCell ref="AG228:AI228"/>
    <mergeCell ref="B222:C222"/>
    <mergeCell ref="B223:C223"/>
    <mergeCell ref="Z222:AA222"/>
    <mergeCell ref="Z223:AA223"/>
    <mergeCell ref="B220:C220"/>
    <mergeCell ref="J220:K220"/>
    <mergeCell ref="R220:S220"/>
    <mergeCell ref="Z220:AA220"/>
    <mergeCell ref="B221:C221"/>
    <mergeCell ref="Z221:AA221"/>
    <mergeCell ref="B218:C218"/>
    <mergeCell ref="J218:K218"/>
    <mergeCell ref="R218:S218"/>
    <mergeCell ref="Z218:AA218"/>
    <mergeCell ref="AH218:AI218"/>
    <mergeCell ref="B219:C219"/>
    <mergeCell ref="J219:K219"/>
    <mergeCell ref="R219:S219"/>
    <mergeCell ref="Z219:AA219"/>
    <mergeCell ref="AH219:AI219"/>
    <mergeCell ref="AJ215:AM215"/>
    <mergeCell ref="D216:E216"/>
    <mergeCell ref="F216:G216"/>
    <mergeCell ref="L216:M216"/>
    <mergeCell ref="N216:O216"/>
    <mergeCell ref="T216:U216"/>
    <mergeCell ref="V216:W216"/>
    <mergeCell ref="AB216:AC216"/>
    <mergeCell ref="AD216:AE216"/>
    <mergeCell ref="AJ216:AK216"/>
    <mergeCell ref="AL216:AM216"/>
    <mergeCell ref="B215:C217"/>
    <mergeCell ref="D215:G215"/>
    <mergeCell ref="J215:K217"/>
    <mergeCell ref="L215:O215"/>
    <mergeCell ref="R215:S217"/>
    <mergeCell ref="T215:W215"/>
    <mergeCell ref="Z215:AA217"/>
    <mergeCell ref="AB215:AE215"/>
    <mergeCell ref="AH215:AI217"/>
    <mergeCell ref="A212:H212"/>
    <mergeCell ref="I212:P212"/>
    <mergeCell ref="Q212:X212"/>
    <mergeCell ref="Y212:AF212"/>
    <mergeCell ref="AG212:AN212"/>
    <mergeCell ref="A213:H213"/>
    <mergeCell ref="I213:P213"/>
    <mergeCell ref="Q213:X213"/>
    <mergeCell ref="Y213:AF213"/>
    <mergeCell ref="AG213:AN213"/>
    <mergeCell ref="A210:H210"/>
    <mergeCell ref="I210:P210"/>
    <mergeCell ref="Q210:X210"/>
    <mergeCell ref="Y210:AF210"/>
    <mergeCell ref="AG210:AN210"/>
    <mergeCell ref="A211:H211"/>
    <mergeCell ref="I211:P211"/>
    <mergeCell ref="Q211:X211"/>
    <mergeCell ref="Y211:AF211"/>
    <mergeCell ref="AG211:AN211"/>
    <mergeCell ref="E207:H207"/>
    <mergeCell ref="M207:P207"/>
    <mergeCell ref="U207:X207"/>
    <mergeCell ref="AC207:AF207"/>
    <mergeCell ref="AK207:AN207"/>
    <mergeCell ref="A209:H209"/>
    <mergeCell ref="I209:P209"/>
    <mergeCell ref="Q209:X209"/>
    <mergeCell ref="Y209:AF209"/>
    <mergeCell ref="AG209:AN209"/>
    <mergeCell ref="I191:K191"/>
    <mergeCell ref="Q182:X182"/>
    <mergeCell ref="Q186:X187"/>
    <mergeCell ref="Q189:S189"/>
    <mergeCell ref="Y186:AF187"/>
    <mergeCell ref="Y182:AF182"/>
    <mergeCell ref="Y189:AA189"/>
    <mergeCell ref="AG190:AI190"/>
    <mergeCell ref="A206:B206"/>
    <mergeCell ref="F206:H206"/>
    <mergeCell ref="I206:J206"/>
    <mergeCell ref="N206:P206"/>
    <mergeCell ref="Q206:R206"/>
    <mergeCell ref="V206:X206"/>
    <mergeCell ref="Y206:Z206"/>
    <mergeCell ref="AD206:AF206"/>
    <mergeCell ref="AG206:AH206"/>
    <mergeCell ref="A188:H190"/>
    <mergeCell ref="A192:C192"/>
    <mergeCell ref="Y192:AA192"/>
    <mergeCell ref="A184:H184"/>
    <mergeCell ref="AG183:AN183"/>
    <mergeCell ref="AG187:AN188"/>
    <mergeCell ref="AL206:AN206"/>
    <mergeCell ref="J180:K180"/>
    <mergeCell ref="R180:S180"/>
    <mergeCell ref="AH180:AI180"/>
    <mergeCell ref="J181:K181"/>
    <mergeCell ref="AH181:AI181"/>
    <mergeCell ref="J182:K182"/>
    <mergeCell ref="I184:P184"/>
    <mergeCell ref="I188:P189"/>
    <mergeCell ref="J177:K177"/>
    <mergeCell ref="R177:S177"/>
    <mergeCell ref="Z177:AA177"/>
    <mergeCell ref="AH177:AI177"/>
    <mergeCell ref="J178:K178"/>
    <mergeCell ref="R178:S178"/>
    <mergeCell ref="Z178:AA178"/>
    <mergeCell ref="AH178:AI178"/>
    <mergeCell ref="J179:K179"/>
    <mergeCell ref="R179:S179"/>
    <mergeCell ref="Z179:AA179"/>
    <mergeCell ref="AH179:AI179"/>
    <mergeCell ref="A172:H172"/>
    <mergeCell ref="I172:P172"/>
    <mergeCell ref="Q172:X172"/>
    <mergeCell ref="Y172:AF172"/>
    <mergeCell ref="AG172:AN172"/>
    <mergeCell ref="J174:K176"/>
    <mergeCell ref="L174:O174"/>
    <mergeCell ref="R174:S176"/>
    <mergeCell ref="T174:W174"/>
    <mergeCell ref="Z174:AA176"/>
    <mergeCell ref="AB174:AE174"/>
    <mergeCell ref="AH174:AI176"/>
    <mergeCell ref="AJ174:AM174"/>
    <mergeCell ref="L175:M175"/>
    <mergeCell ref="N175:O175"/>
    <mergeCell ref="T175:U175"/>
    <mergeCell ref="V175:W175"/>
    <mergeCell ref="AB175:AC175"/>
    <mergeCell ref="AD175:AE175"/>
    <mergeCell ref="AJ175:AK175"/>
    <mergeCell ref="AL175:AM175"/>
    <mergeCell ref="F175:G175"/>
    <mergeCell ref="A170:H170"/>
    <mergeCell ref="I170:P170"/>
    <mergeCell ref="Q170:X170"/>
    <mergeCell ref="Y170:AF170"/>
    <mergeCell ref="AG170:AN170"/>
    <mergeCell ref="A171:H171"/>
    <mergeCell ref="I171:P171"/>
    <mergeCell ref="Q171:X171"/>
    <mergeCell ref="Y171:AF171"/>
    <mergeCell ref="AG171:AN171"/>
    <mergeCell ref="A168:H168"/>
    <mergeCell ref="I168:P168"/>
    <mergeCell ref="Q168:X168"/>
    <mergeCell ref="Y168:AF168"/>
    <mergeCell ref="AG168:AN168"/>
    <mergeCell ref="A169:H169"/>
    <mergeCell ref="I169:P169"/>
    <mergeCell ref="Q169:X169"/>
    <mergeCell ref="Y169:AF169"/>
    <mergeCell ref="AG169:AN169"/>
    <mergeCell ref="V165:X165"/>
    <mergeCell ref="Y165:Z165"/>
    <mergeCell ref="AD165:AF165"/>
    <mergeCell ref="AG165:AH165"/>
    <mergeCell ref="AL165:AN165"/>
    <mergeCell ref="E166:H166"/>
    <mergeCell ref="M166:P166"/>
    <mergeCell ref="U166:X166"/>
    <mergeCell ref="AC166:AF166"/>
    <mergeCell ref="AK166:AN166"/>
    <mergeCell ref="AG124:AH124"/>
    <mergeCell ref="AL124:AN124"/>
    <mergeCell ref="AK125:AN125"/>
    <mergeCell ref="A147:H149"/>
    <mergeCell ref="R142:S142"/>
    <mergeCell ref="R144:S144"/>
    <mergeCell ref="Q146:X146"/>
    <mergeCell ref="Q150:X152"/>
    <mergeCell ref="Q154:S154"/>
    <mergeCell ref="Y140:AF140"/>
    <mergeCell ref="Y144:AF145"/>
    <mergeCell ref="AG147:AN148"/>
    <mergeCell ref="AG150:AI150"/>
    <mergeCell ref="AH139:AI139"/>
    <mergeCell ref="AH140:AI140"/>
    <mergeCell ref="AH141:AI141"/>
    <mergeCell ref="A143:H143"/>
    <mergeCell ref="AG143:AN143"/>
    <mergeCell ref="I144:P144"/>
    <mergeCell ref="I148:P149"/>
    <mergeCell ref="Y147:AA147"/>
    <mergeCell ref="A151:C151"/>
    <mergeCell ref="I151:K151"/>
    <mergeCell ref="Z136:AA136"/>
    <mergeCell ref="AH136:AI136"/>
    <mergeCell ref="B137:C137"/>
    <mergeCell ref="J137:K137"/>
    <mergeCell ref="R137:S137"/>
    <mergeCell ref="Z137:AA137"/>
    <mergeCell ref="AH137:AI137"/>
    <mergeCell ref="B138:C138"/>
    <mergeCell ref="J138:K138"/>
    <mergeCell ref="R138:S138"/>
    <mergeCell ref="Z138:AA138"/>
    <mergeCell ref="AH138:AI138"/>
    <mergeCell ref="B136:C136"/>
    <mergeCell ref="J136:K136"/>
    <mergeCell ref="R136:S136"/>
    <mergeCell ref="AG130:AN130"/>
    <mergeCell ref="AG131:AN131"/>
    <mergeCell ref="B133:C135"/>
    <mergeCell ref="D133:G133"/>
    <mergeCell ref="J133:K135"/>
    <mergeCell ref="L133:O133"/>
    <mergeCell ref="R133:S135"/>
    <mergeCell ref="T133:W133"/>
    <mergeCell ref="Z133:AA135"/>
    <mergeCell ref="AB133:AE133"/>
    <mergeCell ref="AH133:AI135"/>
    <mergeCell ref="AJ133:AM133"/>
    <mergeCell ref="D134:E134"/>
    <mergeCell ref="F134:G134"/>
    <mergeCell ref="L134:M134"/>
    <mergeCell ref="N134:O134"/>
    <mergeCell ref="T134:U134"/>
    <mergeCell ref="V134:W134"/>
    <mergeCell ref="AB134:AC134"/>
    <mergeCell ref="AD134:AE134"/>
    <mergeCell ref="AJ134:AK134"/>
    <mergeCell ref="AL134:AM134"/>
    <mergeCell ref="I130:P130"/>
    <mergeCell ref="Q130:X130"/>
    <mergeCell ref="AG127:AN127"/>
    <mergeCell ref="A128:H128"/>
    <mergeCell ref="I128:P128"/>
    <mergeCell ref="Q128:X128"/>
    <mergeCell ref="Y128:AF128"/>
    <mergeCell ref="AG128:AN128"/>
    <mergeCell ref="A129:H129"/>
    <mergeCell ref="I129:P129"/>
    <mergeCell ref="Q129:X129"/>
    <mergeCell ref="Y129:AF129"/>
    <mergeCell ref="AG129:AN129"/>
    <mergeCell ref="Q112:S112"/>
    <mergeCell ref="R102:S102"/>
    <mergeCell ref="R58:S58"/>
    <mergeCell ref="AG106:AN108"/>
    <mergeCell ref="AG110:AI110"/>
    <mergeCell ref="AH98:AI98"/>
    <mergeCell ref="AH99:AI99"/>
    <mergeCell ref="AH100:AI100"/>
    <mergeCell ref="Y102:AF102"/>
    <mergeCell ref="AG102:AN102"/>
    <mergeCell ref="Y106:AF107"/>
    <mergeCell ref="AG65:AN66"/>
    <mergeCell ref="Y68:AA68"/>
    <mergeCell ref="AG68:AI68"/>
    <mergeCell ref="Y64:AF66"/>
    <mergeCell ref="Q67:S67"/>
    <mergeCell ref="AC84:AF84"/>
    <mergeCell ref="Y88:AF88"/>
    <mergeCell ref="Z98:AA98"/>
    <mergeCell ref="Z99:AA99"/>
    <mergeCell ref="Z100:AA100"/>
    <mergeCell ref="AH95:AI95"/>
    <mergeCell ref="AH96:AI96"/>
    <mergeCell ref="AH97:AI97"/>
    <mergeCell ref="Y83:Z83"/>
    <mergeCell ref="AD83:AF83"/>
    <mergeCell ref="E84:H84"/>
    <mergeCell ref="M84:P84"/>
    <mergeCell ref="U84:X84"/>
    <mergeCell ref="R101:S101"/>
    <mergeCell ref="AG83:AH83"/>
    <mergeCell ref="AL83:AN83"/>
    <mergeCell ref="AK84:AN84"/>
    <mergeCell ref="AG86:AN86"/>
    <mergeCell ref="AG87:AN87"/>
    <mergeCell ref="AG88:AN88"/>
    <mergeCell ref="AG89:AN89"/>
    <mergeCell ref="AG90:AN90"/>
    <mergeCell ref="AH92:AI94"/>
    <mergeCell ref="AJ92:AM92"/>
    <mergeCell ref="AJ93:AK93"/>
    <mergeCell ref="AL93:AM93"/>
    <mergeCell ref="A89:H89"/>
    <mergeCell ref="I89:P89"/>
    <mergeCell ref="Q89:X89"/>
    <mergeCell ref="Y89:AF89"/>
    <mergeCell ref="Y86:AF86"/>
    <mergeCell ref="Y87:AF87"/>
    <mergeCell ref="Z56:AA56"/>
    <mergeCell ref="AH56:AI56"/>
    <mergeCell ref="Z57:AA57"/>
    <mergeCell ref="AH57:AI57"/>
    <mergeCell ref="Z58:AA58"/>
    <mergeCell ref="AH58:AI58"/>
    <mergeCell ref="AH59:AI59"/>
    <mergeCell ref="Y60:AF60"/>
    <mergeCell ref="AG61:AN61"/>
    <mergeCell ref="AJ51:AM51"/>
    <mergeCell ref="AB52:AC52"/>
    <mergeCell ref="AD52:AE52"/>
    <mergeCell ref="AJ52:AK52"/>
    <mergeCell ref="AL52:AM52"/>
    <mergeCell ref="Z54:AA54"/>
    <mergeCell ref="AH54:AI54"/>
    <mergeCell ref="Z55:AA55"/>
    <mergeCell ref="AH55:AI55"/>
    <mergeCell ref="J56:K56"/>
    <mergeCell ref="I58:P58"/>
    <mergeCell ref="I62:P64"/>
    <mergeCell ref="I66:K66"/>
    <mergeCell ref="Y42:Z42"/>
    <mergeCell ref="AD42:AF42"/>
    <mergeCell ref="AG42:AH42"/>
    <mergeCell ref="AL42:AN42"/>
    <mergeCell ref="AC43:AF43"/>
    <mergeCell ref="AK43:AN43"/>
    <mergeCell ref="Y45:AF45"/>
    <mergeCell ref="AG45:AN45"/>
    <mergeCell ref="Y46:AF46"/>
    <mergeCell ref="AG46:AN46"/>
    <mergeCell ref="Y47:AF47"/>
    <mergeCell ref="AG47:AN47"/>
    <mergeCell ref="Y48:AF48"/>
    <mergeCell ref="AG48:AN48"/>
    <mergeCell ref="Y49:AF49"/>
    <mergeCell ref="AG49:AN49"/>
    <mergeCell ref="Z51:AA53"/>
    <mergeCell ref="AB51:AE51"/>
    <mergeCell ref="AH51:AI53"/>
    <mergeCell ref="Q48:X48"/>
    <mergeCell ref="AL1:AN1"/>
    <mergeCell ref="AK2:AN2"/>
    <mergeCell ref="AG4:AN4"/>
    <mergeCell ref="AG5:AN5"/>
    <mergeCell ref="AG6:AN6"/>
    <mergeCell ref="AG7:AN7"/>
    <mergeCell ref="AG8:AN8"/>
    <mergeCell ref="AH10:AI12"/>
    <mergeCell ref="AJ10:AM10"/>
    <mergeCell ref="AJ11:AK11"/>
    <mergeCell ref="AL11:AM11"/>
    <mergeCell ref="B177:C177"/>
    <mergeCell ref="B178:C178"/>
    <mergeCell ref="B179:C179"/>
    <mergeCell ref="B180:C180"/>
    <mergeCell ref="B181:C181"/>
    <mergeCell ref="B182:C182"/>
    <mergeCell ref="AG1:AH1"/>
    <mergeCell ref="AH13:AI13"/>
    <mergeCell ref="AH14:AI14"/>
    <mergeCell ref="AG16:AN16"/>
    <mergeCell ref="AG20:AN21"/>
    <mergeCell ref="AG23:AI23"/>
    <mergeCell ref="A45:H45"/>
    <mergeCell ref="A46:H46"/>
    <mergeCell ref="A47:H47"/>
    <mergeCell ref="A49:H49"/>
    <mergeCell ref="I46:P46"/>
    <mergeCell ref="I47:P47"/>
    <mergeCell ref="I49:P49"/>
    <mergeCell ref="F52:G52"/>
    <mergeCell ref="A109:C109"/>
    <mergeCell ref="B174:C176"/>
    <mergeCell ref="D174:G174"/>
    <mergeCell ref="D175:E175"/>
    <mergeCell ref="A165:B165"/>
    <mergeCell ref="F165:H165"/>
    <mergeCell ref="I165:J165"/>
    <mergeCell ref="N165:P165"/>
    <mergeCell ref="Q165:R165"/>
    <mergeCell ref="J142:K142"/>
    <mergeCell ref="R143:S143"/>
    <mergeCell ref="B139:C139"/>
    <mergeCell ref="J139:K139"/>
    <mergeCell ref="R139:S139"/>
    <mergeCell ref="B140:C140"/>
    <mergeCell ref="J140:K140"/>
    <mergeCell ref="R140:S140"/>
    <mergeCell ref="B141:C141"/>
    <mergeCell ref="J141:K141"/>
    <mergeCell ref="R141:S141"/>
    <mergeCell ref="Y130:AF130"/>
    <mergeCell ref="A131:H131"/>
    <mergeCell ref="I131:P131"/>
    <mergeCell ref="Q131:X131"/>
    <mergeCell ref="Y131:AF131"/>
    <mergeCell ref="A124:B124"/>
    <mergeCell ref="F124:H124"/>
    <mergeCell ref="I124:J124"/>
    <mergeCell ref="N124:P124"/>
    <mergeCell ref="Q124:R124"/>
    <mergeCell ref="V124:X124"/>
    <mergeCell ref="Y124:Z124"/>
    <mergeCell ref="AD124:AF124"/>
    <mergeCell ref="E125:H125"/>
    <mergeCell ref="M125:P125"/>
    <mergeCell ref="U125:X125"/>
    <mergeCell ref="AC125:AF125"/>
    <mergeCell ref="Y127:AF127"/>
    <mergeCell ref="A127:H127"/>
    <mergeCell ref="I127:P127"/>
    <mergeCell ref="Q127:X127"/>
    <mergeCell ref="A130:H130"/>
    <mergeCell ref="B16:C16"/>
    <mergeCell ref="A18:H18"/>
    <mergeCell ref="A22:H22"/>
    <mergeCell ref="B13:C13"/>
    <mergeCell ref="B14:C14"/>
    <mergeCell ref="B15:C15"/>
    <mergeCell ref="A8:H8"/>
    <mergeCell ref="I4:P4"/>
    <mergeCell ref="I5:P5"/>
    <mergeCell ref="I6:P6"/>
    <mergeCell ref="I7:P7"/>
    <mergeCell ref="I8:P8"/>
    <mergeCell ref="J10:K12"/>
    <mergeCell ref="A4:H4"/>
    <mergeCell ref="A5:H5"/>
    <mergeCell ref="A6:H6"/>
    <mergeCell ref="A7:H7"/>
    <mergeCell ref="B10:C12"/>
    <mergeCell ref="D11:E11"/>
    <mergeCell ref="F11:G11"/>
    <mergeCell ref="D10:G10"/>
    <mergeCell ref="L10:O10"/>
    <mergeCell ref="L11:M11"/>
    <mergeCell ref="N11:O11"/>
    <mergeCell ref="Y4:AF4"/>
    <mergeCell ref="Y5:AF5"/>
    <mergeCell ref="Y6:AF6"/>
    <mergeCell ref="Y7:AF7"/>
    <mergeCell ref="Y8:AF8"/>
    <mergeCell ref="Z10:AA12"/>
    <mergeCell ref="AB10:AE10"/>
    <mergeCell ref="T11:U11"/>
    <mergeCell ref="V11:W11"/>
    <mergeCell ref="Q4:X4"/>
    <mergeCell ref="Q5:X5"/>
    <mergeCell ref="Q6:X6"/>
    <mergeCell ref="Q7:X7"/>
    <mergeCell ref="Q8:X8"/>
    <mergeCell ref="R10:S12"/>
    <mergeCell ref="T10:W10"/>
    <mergeCell ref="V52:W52"/>
    <mergeCell ref="Y20:AF20"/>
    <mergeCell ref="I45:P45"/>
    <mergeCell ref="Q45:X45"/>
    <mergeCell ref="I42:J42"/>
    <mergeCell ref="N42:P42"/>
    <mergeCell ref="M43:P43"/>
    <mergeCell ref="AB11:AC11"/>
    <mergeCell ref="AD11:AE11"/>
    <mergeCell ref="Z13:AA13"/>
    <mergeCell ref="Z14:AA14"/>
    <mergeCell ref="Q18:X18"/>
    <mergeCell ref="Q22:X23"/>
    <mergeCell ref="R13:S13"/>
    <mergeCell ref="R14:S14"/>
    <mergeCell ref="R15:S15"/>
    <mergeCell ref="R16:S16"/>
    <mergeCell ref="I21:P21"/>
    <mergeCell ref="V42:X42"/>
    <mergeCell ref="U43:X43"/>
    <mergeCell ref="J13:K13"/>
    <mergeCell ref="J14:K14"/>
    <mergeCell ref="J15:K15"/>
    <mergeCell ref="V1:X1"/>
    <mergeCell ref="U2:X2"/>
    <mergeCell ref="Q64:X65"/>
    <mergeCell ref="I1:J1"/>
    <mergeCell ref="N1:P1"/>
    <mergeCell ref="M2:P2"/>
    <mergeCell ref="A64:C64"/>
    <mergeCell ref="A61:H62"/>
    <mergeCell ref="Q60:X60"/>
    <mergeCell ref="Q49:X49"/>
    <mergeCell ref="Q46:X46"/>
    <mergeCell ref="Q47:X47"/>
    <mergeCell ref="B51:C53"/>
    <mergeCell ref="D51:G51"/>
    <mergeCell ref="J51:K53"/>
    <mergeCell ref="L51:O51"/>
    <mergeCell ref="A48:H48"/>
    <mergeCell ref="I48:P48"/>
    <mergeCell ref="D52:E52"/>
    <mergeCell ref="N52:O52"/>
    <mergeCell ref="L52:M52"/>
    <mergeCell ref="R51:S53"/>
    <mergeCell ref="T51:W51"/>
    <mergeCell ref="T52:U52"/>
    <mergeCell ref="Y1:Z1"/>
    <mergeCell ref="AD1:AF1"/>
    <mergeCell ref="AC2:AF2"/>
    <mergeCell ref="I17:P17"/>
    <mergeCell ref="Y16:AF16"/>
    <mergeCell ref="A57:H57"/>
    <mergeCell ref="R56:S56"/>
    <mergeCell ref="A42:B42"/>
    <mergeCell ref="F42:H42"/>
    <mergeCell ref="Q25:S25"/>
    <mergeCell ref="Y22:AA22"/>
    <mergeCell ref="A24:C24"/>
    <mergeCell ref="I23:K23"/>
    <mergeCell ref="Q42:R42"/>
    <mergeCell ref="E43:H43"/>
    <mergeCell ref="B54:C54"/>
    <mergeCell ref="J54:K54"/>
    <mergeCell ref="R54:S54"/>
    <mergeCell ref="B55:C55"/>
    <mergeCell ref="J55:K55"/>
    <mergeCell ref="A1:B1"/>
    <mergeCell ref="F1:H1"/>
    <mergeCell ref="E2:H2"/>
    <mergeCell ref="Q1:R1"/>
    <mergeCell ref="A83:B83"/>
    <mergeCell ref="F83:H83"/>
    <mergeCell ref="I83:J83"/>
    <mergeCell ref="N83:P83"/>
    <mergeCell ref="Q83:R83"/>
    <mergeCell ref="V83:X83"/>
    <mergeCell ref="A88:H88"/>
    <mergeCell ref="I88:P88"/>
    <mergeCell ref="Q88:X88"/>
    <mergeCell ref="A86:H86"/>
    <mergeCell ref="I86:P86"/>
    <mergeCell ref="Q86:X86"/>
    <mergeCell ref="A87:H87"/>
    <mergeCell ref="I87:P87"/>
    <mergeCell ref="Q87:X87"/>
    <mergeCell ref="A90:H90"/>
    <mergeCell ref="I90:P90"/>
    <mergeCell ref="Q90:X90"/>
    <mergeCell ref="Y90:AF90"/>
    <mergeCell ref="B92:C94"/>
    <mergeCell ref="D92:G92"/>
    <mergeCell ref="J92:K94"/>
    <mergeCell ref="L92:O92"/>
    <mergeCell ref="R92:S94"/>
    <mergeCell ref="T92:W92"/>
    <mergeCell ref="Z92:AA94"/>
    <mergeCell ref="AB92:AE92"/>
    <mergeCell ref="D93:E93"/>
    <mergeCell ref="F93:G93"/>
    <mergeCell ref="L93:M93"/>
    <mergeCell ref="N93:O93"/>
    <mergeCell ref="T93:U93"/>
    <mergeCell ref="V93:W93"/>
    <mergeCell ref="AB93:AC93"/>
    <mergeCell ref="AD93:AE93"/>
    <mergeCell ref="R97:S97"/>
    <mergeCell ref="B95:C95"/>
    <mergeCell ref="J95:K95"/>
    <mergeCell ref="R95:S95"/>
    <mergeCell ref="B100:C100"/>
    <mergeCell ref="A106:H107"/>
    <mergeCell ref="I107:P108"/>
    <mergeCell ref="Z95:AA95"/>
    <mergeCell ref="B96:C96"/>
    <mergeCell ref="J97:K97"/>
    <mergeCell ref="R96:S96"/>
    <mergeCell ref="Z96:AA96"/>
    <mergeCell ref="Z97:AA97"/>
    <mergeCell ref="J96:K96"/>
    <mergeCell ref="B97:C97"/>
    <mergeCell ref="Y110:AA110"/>
    <mergeCell ref="I110:K110"/>
    <mergeCell ref="R98:S98"/>
    <mergeCell ref="R99:S99"/>
    <mergeCell ref="Y109:AA109"/>
    <mergeCell ref="J98:K98"/>
    <mergeCell ref="J99:K99"/>
    <mergeCell ref="J101:K101"/>
    <mergeCell ref="A102:H102"/>
    <mergeCell ref="I103:P103"/>
    <mergeCell ref="Q104:X104"/>
    <mergeCell ref="Q108:X110"/>
    <mergeCell ref="J100:K100"/>
    <mergeCell ref="B98:C98"/>
    <mergeCell ref="B99:C99"/>
    <mergeCell ref="R100:S100"/>
  </mergeCells>
  <pageMargins left="0.7" right="0.7" top="0.75" bottom="0.75" header="0.3" footer="0.3"/>
  <pageSetup paperSize="9" fitToWidth="0"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25" workbookViewId="0">
      <selection activeCell="A48" sqref="A48"/>
    </sheetView>
  </sheetViews>
  <sheetFormatPr defaultRowHeight="15" x14ac:dyDescent="0.25"/>
  <cols>
    <col min="1" max="1" width="65.7109375" style="141" customWidth="1"/>
    <col min="2" max="16" width="9.7109375" style="93" customWidth="1"/>
    <col min="17" max="18" width="9.7109375" style="141" customWidth="1"/>
    <col min="19" max="19" width="9.7109375" style="93" customWidth="1"/>
    <col min="20" max="16384" width="9.140625" style="93"/>
  </cols>
  <sheetData>
    <row r="1" spans="1:19" s="15" customFormat="1" ht="18.95" customHeight="1" thickBot="1" x14ac:dyDescent="0.25">
      <c r="A1" s="443" t="s">
        <v>0</v>
      </c>
      <c r="B1" s="443"/>
      <c r="C1" s="443"/>
      <c r="D1" s="443"/>
      <c r="E1" s="443"/>
      <c r="F1" s="443"/>
      <c r="G1" s="443"/>
      <c r="H1" s="443"/>
      <c r="I1" s="443"/>
      <c r="J1" s="443"/>
      <c r="K1" s="443"/>
      <c r="L1" s="443"/>
      <c r="M1" s="443"/>
      <c r="N1" s="443"/>
      <c r="O1" s="443"/>
      <c r="P1" s="443"/>
      <c r="Q1" s="443"/>
      <c r="R1" s="443"/>
      <c r="S1" s="443"/>
    </row>
    <row r="2" spans="1:19" s="15" customFormat="1" ht="18.95" customHeight="1" thickBot="1" x14ac:dyDescent="0.25">
      <c r="A2" s="447" t="s">
        <v>1</v>
      </c>
      <c r="B2" s="444" t="s">
        <v>2</v>
      </c>
      <c r="C2" s="446"/>
      <c r="D2" s="449" t="s">
        <v>3</v>
      </c>
      <c r="E2" s="451" t="s">
        <v>4</v>
      </c>
      <c r="F2" s="452"/>
      <c r="G2" s="452"/>
      <c r="H2" s="453"/>
      <c r="I2" s="451" t="s">
        <v>5</v>
      </c>
      <c r="J2" s="452"/>
      <c r="K2" s="452"/>
      <c r="L2" s="453"/>
      <c r="M2" s="451" t="s">
        <v>6</v>
      </c>
      <c r="N2" s="452"/>
      <c r="O2" s="452"/>
      <c r="P2" s="453"/>
      <c r="Q2" s="444" t="s">
        <v>7</v>
      </c>
      <c r="R2" s="445"/>
      <c r="S2" s="446"/>
    </row>
    <row r="3" spans="1:19" s="15" customFormat="1" ht="59.1" customHeight="1" thickBot="1" x14ac:dyDescent="0.25">
      <c r="A3" s="448"/>
      <c r="B3" s="2" t="s">
        <v>8</v>
      </c>
      <c r="C3" s="3" t="s">
        <v>9</v>
      </c>
      <c r="D3" s="450"/>
      <c r="E3" s="16" t="s">
        <v>10</v>
      </c>
      <c r="F3" s="16" t="s">
        <v>11</v>
      </c>
      <c r="G3" s="16" t="s">
        <v>12</v>
      </c>
      <c r="H3" s="16" t="s">
        <v>13</v>
      </c>
      <c r="I3" s="5" t="s">
        <v>14</v>
      </c>
      <c r="J3" s="5" t="s">
        <v>15</v>
      </c>
      <c r="K3" s="6" t="s">
        <v>16</v>
      </c>
      <c r="L3" s="5" t="s">
        <v>1002</v>
      </c>
      <c r="M3" s="5" t="s">
        <v>18</v>
      </c>
      <c r="N3" s="5" t="s">
        <v>19</v>
      </c>
      <c r="O3" s="5" t="s">
        <v>20</v>
      </c>
      <c r="P3" s="5" t="s">
        <v>21</v>
      </c>
      <c r="Q3" s="7" t="s">
        <v>22</v>
      </c>
      <c r="R3" s="8" t="s">
        <v>23</v>
      </c>
      <c r="S3" s="3" t="s">
        <v>24</v>
      </c>
    </row>
    <row r="4" spans="1:19" s="18" customFormat="1" ht="18.95" customHeight="1" x14ac:dyDescent="0.2">
      <c r="A4" s="139" t="s">
        <v>156</v>
      </c>
      <c r="B4" s="10" t="s">
        <v>25</v>
      </c>
      <c r="C4" s="10" t="s">
        <v>25</v>
      </c>
      <c r="D4" s="10" t="s">
        <v>25</v>
      </c>
      <c r="E4" s="10" t="s">
        <v>25</v>
      </c>
      <c r="F4" s="10" t="s">
        <v>25</v>
      </c>
      <c r="G4" s="10" t="s">
        <v>25</v>
      </c>
      <c r="H4" s="10" t="s">
        <v>25</v>
      </c>
      <c r="I4" s="10" t="s">
        <v>25</v>
      </c>
      <c r="J4" s="10" t="s">
        <v>25</v>
      </c>
      <c r="K4" s="10" t="s">
        <v>25</v>
      </c>
      <c r="L4" s="10" t="s">
        <v>25</v>
      </c>
      <c r="M4" s="10" t="s">
        <v>25</v>
      </c>
      <c r="N4" s="10" t="s">
        <v>25</v>
      </c>
      <c r="O4" s="10" t="s">
        <v>25</v>
      </c>
      <c r="P4" s="10" t="s">
        <v>25</v>
      </c>
      <c r="Q4" s="130" t="s">
        <v>25</v>
      </c>
      <c r="R4" s="130" t="s">
        <v>25</v>
      </c>
      <c r="S4" s="10" t="s">
        <v>25</v>
      </c>
    </row>
    <row r="5" spans="1:19" s="15" customFormat="1" ht="18.95" customHeight="1" x14ac:dyDescent="0.2">
      <c r="A5" s="131" t="s">
        <v>395</v>
      </c>
      <c r="B5" s="152">
        <v>100</v>
      </c>
      <c r="C5" s="152">
        <v>80</v>
      </c>
      <c r="D5" s="11">
        <f>B5</f>
        <v>100</v>
      </c>
      <c r="E5" s="19">
        <f>E6*D5/D6</f>
        <v>9.75</v>
      </c>
      <c r="F5" s="19">
        <f>F6*D5/D6</f>
        <v>4.95</v>
      </c>
      <c r="G5" s="19">
        <f>G6*D5/D6</f>
        <v>3.8</v>
      </c>
      <c r="H5" s="19">
        <f>H6*D5/D6</f>
        <v>105</v>
      </c>
      <c r="I5" s="19">
        <f>I6*D5/D6</f>
        <v>0.05</v>
      </c>
      <c r="J5" s="19">
        <f>J6*D5/D6</f>
        <v>3.73</v>
      </c>
      <c r="K5" s="19">
        <f>K6*D5/D6</f>
        <v>5.82</v>
      </c>
      <c r="L5" s="19">
        <f>L6*D5/D6</f>
        <v>0</v>
      </c>
      <c r="M5" s="19">
        <f>M6*D5/D6</f>
        <v>39.07</v>
      </c>
      <c r="N5" s="19">
        <f>N6*D5/D6</f>
        <v>162.19</v>
      </c>
      <c r="O5" s="19">
        <f>O6*D5/D6</f>
        <v>48.53</v>
      </c>
      <c r="P5" s="19">
        <f>P6*D5/D6</f>
        <v>0.85</v>
      </c>
      <c r="Q5" s="136">
        <v>229</v>
      </c>
      <c r="R5" s="136">
        <v>2011</v>
      </c>
      <c r="S5" s="152"/>
    </row>
    <row r="6" spans="1:19" s="15" customFormat="1" ht="18.95" customHeight="1" x14ac:dyDescent="0.2">
      <c r="A6" s="316" t="s">
        <v>1119</v>
      </c>
      <c r="B6" s="152"/>
      <c r="C6" s="152"/>
      <c r="D6" s="151">
        <v>100</v>
      </c>
      <c r="E6" s="151">
        <v>9.75</v>
      </c>
      <c r="F6" s="151">
        <v>4.95</v>
      </c>
      <c r="G6" s="151">
        <v>3.8</v>
      </c>
      <c r="H6" s="151">
        <v>105</v>
      </c>
      <c r="I6" s="151">
        <v>0.05</v>
      </c>
      <c r="J6" s="151">
        <v>3.73</v>
      </c>
      <c r="K6" s="151">
        <v>5.82</v>
      </c>
      <c r="L6" s="151"/>
      <c r="M6" s="151">
        <v>39.07</v>
      </c>
      <c r="N6" s="151">
        <v>162.19</v>
      </c>
      <c r="O6" s="151">
        <v>48.53</v>
      </c>
      <c r="P6" s="151">
        <v>0.85</v>
      </c>
      <c r="Q6" s="136"/>
      <c r="R6" s="136"/>
      <c r="S6" s="152"/>
    </row>
    <row r="7" spans="1:19" s="15" customFormat="1" ht="18.95" customHeight="1" x14ac:dyDescent="0.2">
      <c r="A7" s="316" t="s">
        <v>1146</v>
      </c>
      <c r="B7" s="25">
        <v>90</v>
      </c>
      <c r="C7" s="25">
        <v>65</v>
      </c>
      <c r="D7" s="11">
        <f>B7</f>
        <v>90</v>
      </c>
      <c r="E7" s="19">
        <f>E8*D7/D8</f>
        <v>13.389230769230769</v>
      </c>
      <c r="F7" s="19">
        <f>F8*D7/D8</f>
        <v>8.1692307692307686</v>
      </c>
      <c r="G7" s="19">
        <f>G8*D7/D8</f>
        <v>9.5123076923076919</v>
      </c>
      <c r="H7" s="19">
        <f>H8*D7/D8</f>
        <v>164.76923076923077</v>
      </c>
      <c r="I7" s="19">
        <f>I8*D7/D8</f>
        <v>8.3076923076923062E-2</v>
      </c>
      <c r="J7" s="19">
        <f>J8*D7/D8</f>
        <v>2.7</v>
      </c>
      <c r="K7" s="19">
        <f>K8*D7/D8</f>
        <v>6.12</v>
      </c>
      <c r="L7" s="19">
        <f>L8*D7/D8</f>
        <v>0</v>
      </c>
      <c r="M7" s="19">
        <f>M8*D7/D8</f>
        <v>42.909230769230767</v>
      </c>
      <c r="N7" s="19">
        <f>N8*D7/D8</f>
        <v>139.69384615384615</v>
      </c>
      <c r="O7" s="19">
        <f>O8*D7/D8</f>
        <v>25.767692307692304</v>
      </c>
      <c r="P7" s="19">
        <f>P8*D7/D8</f>
        <v>0.9276923076923077</v>
      </c>
      <c r="Q7" s="136">
        <v>231</v>
      </c>
      <c r="R7" s="136">
        <v>2011</v>
      </c>
      <c r="S7" s="152"/>
    </row>
    <row r="8" spans="1:19" s="15" customFormat="1" ht="18.95" customHeight="1" x14ac:dyDescent="0.2">
      <c r="A8" s="131" t="s">
        <v>1047</v>
      </c>
      <c r="B8" s="25"/>
      <c r="C8" s="25"/>
      <c r="D8" s="151">
        <v>65</v>
      </c>
      <c r="E8" s="151">
        <v>9.67</v>
      </c>
      <c r="F8" s="151">
        <v>5.9</v>
      </c>
      <c r="G8" s="151">
        <v>6.87</v>
      </c>
      <c r="H8" s="151">
        <v>119</v>
      </c>
      <c r="I8" s="151">
        <v>0.06</v>
      </c>
      <c r="J8" s="151">
        <v>1.95</v>
      </c>
      <c r="K8" s="151">
        <v>4.42</v>
      </c>
      <c r="L8" s="151"/>
      <c r="M8" s="151">
        <v>30.99</v>
      </c>
      <c r="N8" s="151">
        <v>100.89</v>
      </c>
      <c r="O8" s="151">
        <v>18.61</v>
      </c>
      <c r="P8" s="151">
        <v>0.67</v>
      </c>
      <c r="Q8" s="136"/>
      <c r="R8" s="136"/>
      <c r="S8" s="152"/>
    </row>
    <row r="9" spans="1:19" s="15" customFormat="1" ht="18.95" customHeight="1" x14ac:dyDescent="0.2">
      <c r="A9" s="131" t="s">
        <v>1005</v>
      </c>
      <c r="B9" s="152">
        <v>90</v>
      </c>
      <c r="C9" s="97">
        <v>100</v>
      </c>
      <c r="D9" s="11">
        <f>B9</f>
        <v>90</v>
      </c>
      <c r="E9" s="19">
        <f>E10*D9/D10</f>
        <v>7.74</v>
      </c>
      <c r="F9" s="19">
        <f>F10*D9/D10</f>
        <v>6.2999999999999989</v>
      </c>
      <c r="G9" s="19">
        <f>G10*D9/D10</f>
        <v>10.811249999999999</v>
      </c>
      <c r="H9" s="19">
        <f>H10*D9/D10</f>
        <v>130.5</v>
      </c>
      <c r="I9" s="19">
        <f>I10*D9/D10</f>
        <v>5.1749999999999997E-2</v>
      </c>
      <c r="J9" s="19">
        <f>J10*D9/D10</f>
        <v>0.38250000000000001</v>
      </c>
      <c r="K9" s="19">
        <f>K10*D9/D10</f>
        <v>16.649999999999999</v>
      </c>
      <c r="L9" s="19">
        <f>L10*D9/D10</f>
        <v>0</v>
      </c>
      <c r="M9" s="19">
        <f>M10*D9/D10</f>
        <v>49.646250000000002</v>
      </c>
      <c r="N9" s="19">
        <f>N10*D9/D10</f>
        <v>111.99375000000001</v>
      </c>
      <c r="O9" s="19">
        <f>O10*D9/D10</f>
        <v>25.121249999999996</v>
      </c>
      <c r="P9" s="19">
        <f>P10*D9/D10</f>
        <v>0.88875000000000015</v>
      </c>
      <c r="Q9" s="136">
        <v>235</v>
      </c>
      <c r="R9" s="136">
        <v>2011</v>
      </c>
      <c r="S9" s="152"/>
    </row>
    <row r="10" spans="1:19" s="15" customFormat="1" ht="18.95" customHeight="1" x14ac:dyDescent="0.2">
      <c r="A10" s="133" t="s">
        <v>1051</v>
      </c>
      <c r="B10" s="152"/>
      <c r="C10" s="152"/>
      <c r="D10" s="151">
        <v>80</v>
      </c>
      <c r="E10" s="151">
        <v>6.88</v>
      </c>
      <c r="F10" s="151">
        <v>5.6</v>
      </c>
      <c r="G10" s="151">
        <v>9.61</v>
      </c>
      <c r="H10" s="151">
        <v>116</v>
      </c>
      <c r="I10" s="151">
        <v>4.5999999999999999E-2</v>
      </c>
      <c r="J10" s="151">
        <v>0.34</v>
      </c>
      <c r="K10" s="151">
        <v>14.8</v>
      </c>
      <c r="L10" s="151"/>
      <c r="M10" s="151">
        <v>44.13</v>
      </c>
      <c r="N10" s="151">
        <v>99.55</v>
      </c>
      <c r="O10" s="151">
        <v>22.33</v>
      </c>
      <c r="P10" s="151">
        <v>0.79</v>
      </c>
      <c r="Q10" s="136"/>
      <c r="R10" s="136"/>
      <c r="S10" s="152"/>
    </row>
    <row r="11" spans="1:19" s="96" customFormat="1" ht="18.95" customHeight="1" x14ac:dyDescent="0.25">
      <c r="A11" s="131" t="s">
        <v>1027</v>
      </c>
      <c r="B11" s="152">
        <v>90</v>
      </c>
      <c r="C11" s="97">
        <v>120</v>
      </c>
      <c r="D11" s="11">
        <f>B11</f>
        <v>90</v>
      </c>
      <c r="E11" s="19">
        <v>12.1</v>
      </c>
      <c r="F11" s="19">
        <v>18.16</v>
      </c>
      <c r="G11" s="19">
        <v>16.5</v>
      </c>
      <c r="H11" s="19">
        <v>259</v>
      </c>
      <c r="I11" s="19">
        <f>I12*D11/D12</f>
        <v>0.14727272727272728</v>
      </c>
      <c r="J11" s="19">
        <f>J12*D11/D12</f>
        <v>0</v>
      </c>
      <c r="K11" s="19">
        <f>K12*D11/D12</f>
        <v>32.727272727272727</v>
      </c>
      <c r="L11" s="19">
        <f>L12*D11/D12</f>
        <v>0</v>
      </c>
      <c r="M11" s="19">
        <f>M12*D11/D12</f>
        <v>30.272727272727273</v>
      </c>
      <c r="N11" s="19">
        <f>N12*D11/D12</f>
        <v>132.54545454545453</v>
      </c>
      <c r="O11" s="19">
        <f>O12*D11/D12</f>
        <v>16.363636363636363</v>
      </c>
      <c r="P11" s="19">
        <f>P12*D11/D12</f>
        <v>1.4727272727272727</v>
      </c>
      <c r="Q11" s="136">
        <v>243</v>
      </c>
      <c r="R11" s="136">
        <v>2011</v>
      </c>
      <c r="S11" s="152"/>
    </row>
    <row r="12" spans="1:19" s="14" customFormat="1" ht="18.95" customHeight="1" x14ac:dyDescent="0.25">
      <c r="A12" s="133" t="s">
        <v>1106</v>
      </c>
      <c r="B12" s="152"/>
      <c r="C12" s="152"/>
      <c r="D12" s="151">
        <v>55</v>
      </c>
      <c r="E12" s="151">
        <v>5.55</v>
      </c>
      <c r="F12" s="151">
        <v>15.55</v>
      </c>
      <c r="G12" s="151">
        <v>0.25</v>
      </c>
      <c r="H12" s="151">
        <v>164</v>
      </c>
      <c r="I12" s="151">
        <v>0.09</v>
      </c>
      <c r="J12" s="151">
        <v>0</v>
      </c>
      <c r="K12" s="151">
        <v>20</v>
      </c>
      <c r="L12" s="151"/>
      <c r="M12" s="151">
        <v>18.5</v>
      </c>
      <c r="N12" s="151">
        <v>81</v>
      </c>
      <c r="O12" s="151">
        <v>10</v>
      </c>
      <c r="P12" s="151">
        <v>0.9</v>
      </c>
      <c r="Q12" s="136"/>
      <c r="R12" s="136"/>
      <c r="S12" s="152"/>
    </row>
    <row r="13" spans="1:19" s="14" customFormat="1" ht="18.95" customHeight="1" x14ac:dyDescent="0.25">
      <c r="A13" s="131" t="s">
        <v>157</v>
      </c>
      <c r="B13" s="152">
        <v>100</v>
      </c>
      <c r="C13" s="152">
        <v>100</v>
      </c>
      <c r="D13" s="11">
        <f>B13</f>
        <v>100</v>
      </c>
      <c r="E13" s="19">
        <f>E14*D13/D14</f>
        <v>13.36</v>
      </c>
      <c r="F13" s="19">
        <f>F14*D13/D14</f>
        <v>14.08</v>
      </c>
      <c r="G13" s="19">
        <f>G14*D13/D14</f>
        <v>3.27</v>
      </c>
      <c r="H13" s="19">
        <f>H14*D13/D14</f>
        <v>164</v>
      </c>
      <c r="I13" s="19">
        <f>I14*D13/D14</f>
        <v>0.01</v>
      </c>
      <c r="J13" s="19">
        <f>J14*D13/D14</f>
        <v>1.2</v>
      </c>
      <c r="K13" s="19">
        <f>K14*D13/D14</f>
        <v>0</v>
      </c>
      <c r="L13" s="19">
        <f>L14*D13/D14</f>
        <v>0</v>
      </c>
      <c r="M13" s="19">
        <f>M14*D13/D14</f>
        <v>23.6</v>
      </c>
      <c r="N13" s="19">
        <f>N14*D13/D14</f>
        <v>117.03</v>
      </c>
      <c r="O13" s="19">
        <f>O14*D13/D14</f>
        <v>20.27</v>
      </c>
      <c r="P13" s="19">
        <f>P14*D13/D14</f>
        <v>2</v>
      </c>
      <c r="Q13" s="136">
        <v>246</v>
      </c>
      <c r="R13" s="136">
        <v>2011</v>
      </c>
      <c r="S13" s="152"/>
    </row>
    <row r="14" spans="1:19" s="14" customFormat="1" ht="18.95" customHeight="1" x14ac:dyDescent="0.25">
      <c r="A14" s="140"/>
      <c r="B14" s="152"/>
      <c r="C14" s="152"/>
      <c r="D14" s="151">
        <v>100</v>
      </c>
      <c r="E14" s="151">
        <v>13.36</v>
      </c>
      <c r="F14" s="151">
        <v>14.08</v>
      </c>
      <c r="G14" s="151">
        <v>3.27</v>
      </c>
      <c r="H14" s="151">
        <v>164</v>
      </c>
      <c r="I14" s="151">
        <v>0.01</v>
      </c>
      <c r="J14" s="151">
        <v>1.2</v>
      </c>
      <c r="K14" s="151">
        <v>0</v>
      </c>
      <c r="L14" s="151"/>
      <c r="M14" s="151">
        <v>23.6</v>
      </c>
      <c r="N14" s="151">
        <v>117.03</v>
      </c>
      <c r="O14" s="151">
        <v>20.27</v>
      </c>
      <c r="P14" s="151">
        <v>2</v>
      </c>
      <c r="Q14" s="136"/>
      <c r="R14" s="136"/>
      <c r="S14" s="152"/>
    </row>
    <row r="15" spans="1:19" s="15" customFormat="1" ht="18.95" customHeight="1" x14ac:dyDescent="0.2">
      <c r="A15" s="131" t="s">
        <v>1063</v>
      </c>
      <c r="B15" s="152">
        <v>120</v>
      </c>
      <c r="C15" s="152">
        <v>100</v>
      </c>
      <c r="D15" s="11">
        <f>B15</f>
        <v>120</v>
      </c>
      <c r="E15" s="19">
        <f>E16*D15/D16</f>
        <v>18.239999999999998</v>
      </c>
      <c r="F15" s="19">
        <f>F16*D15/D16</f>
        <v>27.72</v>
      </c>
      <c r="G15" s="19">
        <f>G16*D15/D16</f>
        <v>6.1440000000000001</v>
      </c>
      <c r="H15" s="19">
        <f>H16*D15/D16</f>
        <v>348</v>
      </c>
      <c r="I15" s="19">
        <f>I16*D15/D16</f>
        <v>0.06</v>
      </c>
      <c r="J15" s="19">
        <f>J16*D15/D16</f>
        <v>0.88800000000000001</v>
      </c>
      <c r="K15" s="19">
        <f>K16*D15/D16</f>
        <v>39.359999999999992</v>
      </c>
      <c r="L15" s="19">
        <f>L16*D15/D16</f>
        <v>0</v>
      </c>
      <c r="M15" s="19">
        <f>M16*D15/D16</f>
        <v>51.983999999999995</v>
      </c>
      <c r="N15" s="19">
        <f>N16*D15/D16</f>
        <v>205.38</v>
      </c>
      <c r="O15" s="19">
        <f>O16*D15/D16</f>
        <v>26.94</v>
      </c>
      <c r="P15" s="19">
        <f>P16*D15/D16</f>
        <v>2.88</v>
      </c>
      <c r="Q15" s="136">
        <v>250</v>
      </c>
      <c r="R15" s="136">
        <v>2011</v>
      </c>
      <c r="S15" s="152"/>
    </row>
    <row r="16" spans="1:19" s="15" customFormat="1" ht="18.95" customHeight="1" x14ac:dyDescent="0.2">
      <c r="A16" s="132"/>
      <c r="B16" s="152"/>
      <c r="C16" s="152"/>
      <c r="D16" s="151">
        <v>100</v>
      </c>
      <c r="E16" s="151">
        <v>15.2</v>
      </c>
      <c r="F16" s="151">
        <v>23.1</v>
      </c>
      <c r="G16" s="151">
        <v>5.12</v>
      </c>
      <c r="H16" s="151">
        <v>290</v>
      </c>
      <c r="I16" s="151">
        <v>0.05</v>
      </c>
      <c r="J16" s="151">
        <v>0.74</v>
      </c>
      <c r="K16" s="151">
        <v>32.799999999999997</v>
      </c>
      <c r="L16" s="151"/>
      <c r="M16" s="151">
        <v>43.32</v>
      </c>
      <c r="N16" s="151">
        <v>171.15</v>
      </c>
      <c r="O16" s="151">
        <v>22.45</v>
      </c>
      <c r="P16" s="151">
        <v>2.4</v>
      </c>
      <c r="Q16" s="136"/>
      <c r="R16" s="136"/>
      <c r="S16" s="152"/>
    </row>
    <row r="17" spans="1:19" s="15" customFormat="1" ht="18.95" customHeight="1" x14ac:dyDescent="0.2">
      <c r="A17" s="131" t="s">
        <v>32</v>
      </c>
      <c r="B17" s="152">
        <v>100</v>
      </c>
      <c r="C17" s="152">
        <v>100</v>
      </c>
      <c r="D17" s="11">
        <f>B17</f>
        <v>100</v>
      </c>
      <c r="E17" s="19">
        <f>E18*D17/D18</f>
        <v>13.26</v>
      </c>
      <c r="F17" s="19">
        <f>F18*D17/D18</f>
        <v>11.23</v>
      </c>
      <c r="G17" s="19">
        <f>G18*D17/D18</f>
        <v>3.52</v>
      </c>
      <c r="H17" s="19">
        <f>H18*D17/D18</f>
        <v>185</v>
      </c>
      <c r="I17" s="19">
        <f>I18*D17/D18</f>
        <v>0.2</v>
      </c>
      <c r="J17" s="19">
        <f>J18*D17/D18</f>
        <v>8.4499999999999993</v>
      </c>
      <c r="K17" s="19">
        <f>K18*D17/D18</f>
        <v>5782</v>
      </c>
      <c r="L17" s="19">
        <f>L18*D17/D18</f>
        <v>0</v>
      </c>
      <c r="M17" s="19">
        <f>M18*D17/D18</f>
        <v>33.24</v>
      </c>
      <c r="N17" s="19">
        <f>N18*D17/D18</f>
        <v>239.32</v>
      </c>
      <c r="O17" s="19">
        <f>O18*D17/D18</f>
        <v>17.47</v>
      </c>
      <c r="P17" s="19">
        <f>P18*D17/D18</f>
        <v>5</v>
      </c>
      <c r="Q17" s="136">
        <v>255</v>
      </c>
      <c r="R17" s="136">
        <v>2011</v>
      </c>
      <c r="S17" s="152"/>
    </row>
    <row r="18" spans="1:19" s="15" customFormat="1" ht="18.95" customHeight="1" x14ac:dyDescent="0.2">
      <c r="A18" s="132"/>
      <c r="B18" s="152"/>
      <c r="C18" s="152"/>
      <c r="D18" s="151">
        <v>100</v>
      </c>
      <c r="E18" s="151">
        <v>13.26</v>
      </c>
      <c r="F18" s="151">
        <v>11.23</v>
      </c>
      <c r="G18" s="151">
        <v>3.52</v>
      </c>
      <c r="H18" s="151">
        <v>185</v>
      </c>
      <c r="I18" s="151">
        <v>0.2</v>
      </c>
      <c r="J18" s="151">
        <v>8.4499999999999993</v>
      </c>
      <c r="K18" s="151">
        <v>5782</v>
      </c>
      <c r="L18" s="151"/>
      <c r="M18" s="151">
        <v>33.24</v>
      </c>
      <c r="N18" s="151">
        <v>239.32</v>
      </c>
      <c r="O18" s="151">
        <v>17.47</v>
      </c>
      <c r="P18" s="151">
        <v>5</v>
      </c>
      <c r="Q18" s="136"/>
      <c r="R18" s="136"/>
      <c r="S18" s="152"/>
    </row>
    <row r="19" spans="1:19" s="15" customFormat="1" ht="18.95" customHeight="1" x14ac:dyDescent="0.2">
      <c r="A19" s="131" t="s">
        <v>917</v>
      </c>
      <c r="B19" s="152">
        <v>200</v>
      </c>
      <c r="C19" s="152">
        <v>100</v>
      </c>
      <c r="D19" s="11">
        <f>B19</f>
        <v>200</v>
      </c>
      <c r="E19" s="19">
        <f>E20*D19/D20</f>
        <v>14.057142857142857</v>
      </c>
      <c r="F19" s="19">
        <f>F20*D19/D20</f>
        <v>33.714285714285715</v>
      </c>
      <c r="G19" s="19">
        <f>G20*D19/D20</f>
        <v>18.948571428571427</v>
      </c>
      <c r="H19" s="19">
        <f>H20*D19/D20</f>
        <v>437.71428571428572</v>
      </c>
      <c r="I19" s="19">
        <f>I20*D19/D20</f>
        <v>0.42285714285714288</v>
      </c>
      <c r="J19" s="19">
        <f>J20*D19/D20</f>
        <v>7.725714285714286</v>
      </c>
      <c r="K19" s="19">
        <f>K20*D19/D20</f>
        <v>0</v>
      </c>
      <c r="L19" s="19">
        <f>L20*D19/D20</f>
        <v>0</v>
      </c>
      <c r="M19" s="19">
        <f>M20*D19/D20</f>
        <v>32.78857142857143</v>
      </c>
      <c r="N19" s="19">
        <f>N20*D19/D20</f>
        <v>205.96571428571428</v>
      </c>
      <c r="O19" s="19">
        <f>O20*D19/D20</f>
        <v>48.96</v>
      </c>
      <c r="P19" s="19">
        <f>P20*D19/D20</f>
        <v>3.4514285714285715</v>
      </c>
      <c r="Q19" s="136">
        <v>259</v>
      </c>
      <c r="R19" s="136">
        <v>2011</v>
      </c>
      <c r="S19" s="152"/>
    </row>
    <row r="20" spans="1:19" s="15" customFormat="1" ht="18.95" customHeight="1" x14ac:dyDescent="0.2">
      <c r="A20" s="132"/>
      <c r="B20" s="152"/>
      <c r="C20" s="152"/>
      <c r="D20" s="151">
        <v>175</v>
      </c>
      <c r="E20" s="151">
        <v>12.3</v>
      </c>
      <c r="F20" s="151">
        <v>29.5</v>
      </c>
      <c r="G20" s="151">
        <v>16.579999999999998</v>
      </c>
      <c r="H20" s="151">
        <v>383</v>
      </c>
      <c r="I20" s="151">
        <v>0.37</v>
      </c>
      <c r="J20" s="151">
        <v>6.76</v>
      </c>
      <c r="K20" s="151">
        <v>0</v>
      </c>
      <c r="L20" s="151"/>
      <c r="M20" s="151">
        <v>28.69</v>
      </c>
      <c r="N20" s="151">
        <v>180.22</v>
      </c>
      <c r="O20" s="151">
        <v>42.84</v>
      </c>
      <c r="P20" s="151">
        <v>3.02</v>
      </c>
      <c r="Q20" s="136"/>
      <c r="R20" s="136"/>
      <c r="S20" s="152"/>
    </row>
    <row r="21" spans="1:19" s="15" customFormat="1" ht="18.95" customHeight="1" x14ac:dyDescent="0.2">
      <c r="A21" s="131" t="s">
        <v>918</v>
      </c>
      <c r="B21" s="152">
        <v>100</v>
      </c>
      <c r="C21" s="152">
        <v>100</v>
      </c>
      <c r="D21" s="11">
        <f>B21</f>
        <v>100</v>
      </c>
      <c r="E21" s="19">
        <f>E22*D21/D22</f>
        <v>14.55</v>
      </c>
      <c r="F21" s="19">
        <f>F22*D21/D22</f>
        <v>16.79</v>
      </c>
      <c r="G21" s="19">
        <f>G22*D21/D22</f>
        <v>2.89</v>
      </c>
      <c r="H21" s="19">
        <f>H22*D21/D22</f>
        <v>221</v>
      </c>
      <c r="I21" s="19">
        <f>I22*D21/D22</f>
        <v>0.03</v>
      </c>
      <c r="J21" s="19">
        <f>J22*D21/D22</f>
        <v>0.92</v>
      </c>
      <c r="K21" s="19">
        <f>K22*D21/D22</f>
        <v>0</v>
      </c>
      <c r="L21" s="19">
        <f>L22*D21/D22</f>
        <v>0</v>
      </c>
      <c r="M21" s="19">
        <f>M22*D21/D22</f>
        <v>21.81</v>
      </c>
      <c r="N21" s="19">
        <f>N22*D21/D22</f>
        <v>154.15</v>
      </c>
      <c r="O21" s="19">
        <f>O22*D21/D22</f>
        <v>22.03</v>
      </c>
      <c r="P21" s="19">
        <f>P22*D21/D22</f>
        <v>3.06</v>
      </c>
      <c r="Q21" s="136">
        <v>260</v>
      </c>
      <c r="R21" s="136">
        <v>2011</v>
      </c>
      <c r="S21" s="152"/>
    </row>
    <row r="22" spans="1:19" s="15" customFormat="1" ht="18.95" customHeight="1" x14ac:dyDescent="0.2">
      <c r="A22" s="132"/>
      <c r="B22" s="152"/>
      <c r="C22" s="152"/>
      <c r="D22" s="151">
        <v>100</v>
      </c>
      <c r="E22" s="151">
        <v>14.55</v>
      </c>
      <c r="F22" s="151">
        <v>16.79</v>
      </c>
      <c r="G22" s="151">
        <v>2.89</v>
      </c>
      <c r="H22" s="151">
        <v>221</v>
      </c>
      <c r="I22" s="151">
        <v>0.03</v>
      </c>
      <c r="J22" s="151">
        <v>0.92</v>
      </c>
      <c r="K22" s="151">
        <v>0</v>
      </c>
      <c r="L22" s="151"/>
      <c r="M22" s="151">
        <v>21.81</v>
      </c>
      <c r="N22" s="151">
        <v>154.15</v>
      </c>
      <c r="O22" s="151">
        <v>22.03</v>
      </c>
      <c r="P22" s="151">
        <v>3.06</v>
      </c>
      <c r="Q22" s="136"/>
      <c r="R22" s="136"/>
      <c r="S22" s="152"/>
    </row>
    <row r="23" spans="1:19" s="15" customFormat="1" ht="18.95" customHeight="1" x14ac:dyDescent="0.2">
      <c r="A23" s="131" t="s">
        <v>159</v>
      </c>
      <c r="B23" s="152">
        <v>120</v>
      </c>
      <c r="C23" s="152">
        <v>100</v>
      </c>
      <c r="D23" s="11">
        <f>B23</f>
        <v>120</v>
      </c>
      <c r="E23" s="19">
        <f>E24*D23/D24</f>
        <v>15.192</v>
      </c>
      <c r="F23" s="19">
        <f>F24*D23/D24</f>
        <v>10.512</v>
      </c>
      <c r="G23" s="19">
        <f>G24*D23/D24</f>
        <v>4.5720000000000001</v>
      </c>
      <c r="H23" s="19">
        <f>H24*D23/D24</f>
        <v>190.8</v>
      </c>
      <c r="I23" s="19">
        <f>I24*D23/D24</f>
        <v>0.22800000000000001</v>
      </c>
      <c r="J23" s="19">
        <f>J24*D23/D24</f>
        <v>34.631999999999998</v>
      </c>
      <c r="K23" s="19">
        <f>K24*D23/D24</f>
        <v>6649.2</v>
      </c>
      <c r="L23" s="19">
        <f>L24*D23/D24</f>
        <v>0</v>
      </c>
      <c r="M23" s="19">
        <f>M24*D23/D24</f>
        <v>6.7439999999999998</v>
      </c>
      <c r="N23" s="19">
        <f>N24*D23/D24</f>
        <v>267.94799999999998</v>
      </c>
      <c r="O23" s="19">
        <f>O24*D23/D24</f>
        <v>17.760000000000002</v>
      </c>
      <c r="P23" s="19">
        <f>P24*D23/D24</f>
        <v>5.6639999999999997</v>
      </c>
      <c r="Q23" s="136">
        <v>261</v>
      </c>
      <c r="R23" s="136">
        <v>2011</v>
      </c>
      <c r="S23" s="152"/>
    </row>
    <row r="24" spans="1:19" s="15" customFormat="1" ht="18.95" customHeight="1" x14ac:dyDescent="0.2">
      <c r="A24" s="140"/>
      <c r="B24" s="152"/>
      <c r="C24" s="152"/>
      <c r="D24" s="151">
        <v>100</v>
      </c>
      <c r="E24" s="151">
        <v>12.66</v>
      </c>
      <c r="F24" s="151">
        <v>8.76</v>
      </c>
      <c r="G24" s="151">
        <v>3.81</v>
      </c>
      <c r="H24" s="151">
        <v>159</v>
      </c>
      <c r="I24" s="151">
        <v>0.19</v>
      </c>
      <c r="J24" s="151">
        <v>28.86</v>
      </c>
      <c r="K24" s="151">
        <v>5541</v>
      </c>
      <c r="L24" s="151"/>
      <c r="M24" s="151">
        <v>5.62</v>
      </c>
      <c r="N24" s="151">
        <v>223.29</v>
      </c>
      <c r="O24" s="151">
        <v>14.8</v>
      </c>
      <c r="P24" s="151">
        <v>4.72</v>
      </c>
      <c r="Q24" s="136"/>
      <c r="R24" s="136"/>
      <c r="S24" s="152"/>
    </row>
    <row r="25" spans="1:19" s="15" customFormat="1" ht="18.95" customHeight="1" x14ac:dyDescent="0.2">
      <c r="A25" s="131" t="s">
        <v>919</v>
      </c>
      <c r="B25" s="25">
        <v>200</v>
      </c>
      <c r="C25" s="25">
        <v>100</v>
      </c>
      <c r="D25" s="11">
        <f>B25</f>
        <v>200</v>
      </c>
      <c r="E25" s="19">
        <f>E26*D25/D26</f>
        <v>21.986666666666665</v>
      </c>
      <c r="F25" s="19">
        <f>F26*D25/D26</f>
        <v>22.52</v>
      </c>
      <c r="G25" s="19">
        <f>G26*D25/D26</f>
        <v>34.693333333333335</v>
      </c>
      <c r="H25" s="19">
        <f>H26*D25/D26</f>
        <v>429.33333333333331</v>
      </c>
      <c r="I25" s="19">
        <f>I26*D25/D26</f>
        <v>0.08</v>
      </c>
      <c r="J25" s="19">
        <f>J26*D25/D26</f>
        <v>1.7066666666666668</v>
      </c>
      <c r="K25" s="19">
        <f>K26*D25/D26</f>
        <v>0</v>
      </c>
      <c r="L25" s="19">
        <f>L26*D25/D26</f>
        <v>0</v>
      </c>
      <c r="M25" s="19">
        <f>M26*D25/D26</f>
        <v>18.973333333333333</v>
      </c>
      <c r="N25" s="19">
        <f>N26*D25/D26</f>
        <v>266.85333333333335</v>
      </c>
      <c r="O25" s="19">
        <f>O26*D25/D26</f>
        <v>52.386666666666663</v>
      </c>
      <c r="P25" s="19">
        <f>P26*D25/D26</f>
        <v>3.5333333333333332</v>
      </c>
      <c r="Q25" s="136">
        <v>265</v>
      </c>
      <c r="R25" s="136">
        <v>2011</v>
      </c>
      <c r="S25" s="152"/>
    </row>
    <row r="26" spans="1:19" s="15" customFormat="1" ht="18.95" customHeight="1" x14ac:dyDescent="0.2">
      <c r="A26" s="131" t="s">
        <v>1118</v>
      </c>
      <c r="B26" s="25"/>
      <c r="C26" s="25"/>
      <c r="D26" s="151">
        <v>150</v>
      </c>
      <c r="E26" s="151">
        <v>16.489999999999998</v>
      </c>
      <c r="F26" s="151">
        <v>16.89</v>
      </c>
      <c r="G26" s="151">
        <v>26.02</v>
      </c>
      <c r="H26" s="151">
        <v>322</v>
      </c>
      <c r="I26" s="151">
        <v>0.06</v>
      </c>
      <c r="J26" s="151">
        <v>1.28</v>
      </c>
      <c r="K26" s="151">
        <v>0</v>
      </c>
      <c r="L26" s="151"/>
      <c r="M26" s="151">
        <v>14.23</v>
      </c>
      <c r="N26" s="151">
        <v>200.14</v>
      </c>
      <c r="O26" s="151">
        <v>39.29</v>
      </c>
      <c r="P26" s="151">
        <v>2.65</v>
      </c>
      <c r="Q26" s="136"/>
      <c r="R26" s="136"/>
      <c r="S26" s="152"/>
    </row>
    <row r="27" spans="1:19" s="96" customFormat="1" ht="18.95" customHeight="1" x14ac:dyDescent="0.25">
      <c r="A27" s="131" t="s">
        <v>158</v>
      </c>
      <c r="B27" s="152">
        <v>90</v>
      </c>
      <c r="C27" s="152">
        <v>53</v>
      </c>
      <c r="D27" s="11">
        <f>B27</f>
        <v>90</v>
      </c>
      <c r="E27" s="19">
        <f>E28*D27/D28</f>
        <v>17.473584905660374</v>
      </c>
      <c r="F27" s="19">
        <f>F28*D27/D28</f>
        <v>21.481132075471699</v>
      </c>
      <c r="G27" s="19">
        <f>G28*D27/D28</f>
        <v>0.40754716981132072</v>
      </c>
      <c r="H27" s="19">
        <f>H28*D27/D28</f>
        <v>264.90566037735852</v>
      </c>
      <c r="I27" s="19">
        <f>I28*D27/D28</f>
        <v>5.094339622641509E-2</v>
      </c>
      <c r="J27" s="19">
        <f>J28*D27/D28</f>
        <v>0.1188679245283019</v>
      </c>
      <c r="K27" s="19">
        <f>K28*D27/D28</f>
        <v>1.6981132075471699</v>
      </c>
      <c r="L27" s="19">
        <f>L28*D27/D28</f>
        <v>0</v>
      </c>
      <c r="M27" s="19">
        <f>M28*D27/D28</f>
        <v>20.479245283018869</v>
      </c>
      <c r="N27" s="19">
        <f>N28*D27/D28</f>
        <v>160.26792452830188</v>
      </c>
      <c r="O27" s="19">
        <f>O28*D27/D28</f>
        <v>18.900000000000002</v>
      </c>
      <c r="P27" s="19">
        <f>P28*D27/D28</f>
        <v>2.530188679245283</v>
      </c>
      <c r="Q27" s="136" t="s">
        <v>31</v>
      </c>
      <c r="R27" s="136">
        <v>2011</v>
      </c>
      <c r="S27" s="152">
        <v>266</v>
      </c>
    </row>
    <row r="28" spans="1:19" s="14" customFormat="1" ht="18.95" customHeight="1" x14ac:dyDescent="0.25">
      <c r="A28" s="132"/>
      <c r="B28" s="152"/>
      <c r="C28" s="152"/>
      <c r="D28" s="151">
        <v>53</v>
      </c>
      <c r="E28" s="151">
        <v>10.29</v>
      </c>
      <c r="F28" s="151">
        <v>12.65</v>
      </c>
      <c r="G28" s="151">
        <v>0.24</v>
      </c>
      <c r="H28" s="151">
        <v>156</v>
      </c>
      <c r="I28" s="151">
        <v>0.03</v>
      </c>
      <c r="J28" s="151">
        <v>7.0000000000000007E-2</v>
      </c>
      <c r="K28" s="151">
        <v>1</v>
      </c>
      <c r="L28" s="151"/>
      <c r="M28" s="151">
        <v>12.06</v>
      </c>
      <c r="N28" s="151">
        <v>94.38</v>
      </c>
      <c r="O28" s="151">
        <v>11.13</v>
      </c>
      <c r="P28" s="151">
        <v>1.49</v>
      </c>
      <c r="Q28" s="136"/>
      <c r="R28" s="136"/>
      <c r="S28" s="152"/>
    </row>
    <row r="29" spans="1:19" s="15" customFormat="1" ht="18.95" customHeight="1" x14ac:dyDescent="0.2">
      <c r="A29" s="131" t="s">
        <v>1117</v>
      </c>
      <c r="B29" s="152">
        <v>90</v>
      </c>
      <c r="C29" s="152">
        <v>100</v>
      </c>
      <c r="D29" s="11">
        <f>B29</f>
        <v>90</v>
      </c>
      <c r="E29" s="19">
        <f>E30*D29/D30</f>
        <v>8.4262499999999996</v>
      </c>
      <c r="F29" s="19">
        <f>F30*D29/D30</f>
        <v>10.338749999999999</v>
      </c>
      <c r="G29" s="19">
        <f>G30*D29/D30</f>
        <v>9.27</v>
      </c>
      <c r="H29" s="19">
        <f>H30*D29/D30</f>
        <v>165.375</v>
      </c>
      <c r="I29" s="19">
        <f>I30*D29/D30</f>
        <v>3.3749999999999995E-2</v>
      </c>
      <c r="J29" s="19">
        <f>J30*D29/D30</f>
        <v>1.125E-2</v>
      </c>
      <c r="K29" s="19">
        <f>K30*D29/D30</f>
        <v>11.362500000000001</v>
      </c>
      <c r="L29" s="19">
        <f>L30*D29/D30</f>
        <v>0</v>
      </c>
      <c r="M29" s="19">
        <f>M30*D29/D30</f>
        <v>15.074999999999999</v>
      </c>
      <c r="N29" s="19">
        <f>N30*D29/D30</f>
        <v>101.46374999999999</v>
      </c>
      <c r="O29" s="19">
        <f>O30*D29/D30</f>
        <v>18.989999999999998</v>
      </c>
      <c r="P29" s="19">
        <f>P30*D29/D30</f>
        <v>1.5749999999999997</v>
      </c>
      <c r="Q29" s="136" t="s">
        <v>31</v>
      </c>
      <c r="R29" s="136">
        <v>2011</v>
      </c>
      <c r="S29" s="152">
        <v>268</v>
      </c>
    </row>
    <row r="30" spans="1:19" s="15" customFormat="1" ht="18.95" customHeight="1" x14ac:dyDescent="0.2">
      <c r="A30" s="133" t="s">
        <v>1077</v>
      </c>
      <c r="B30" s="152"/>
      <c r="C30" s="152"/>
      <c r="D30" s="151">
        <v>80</v>
      </c>
      <c r="E30" s="151">
        <v>7.49</v>
      </c>
      <c r="F30" s="151">
        <v>9.19</v>
      </c>
      <c r="G30" s="151">
        <v>8.24</v>
      </c>
      <c r="H30" s="151">
        <v>147</v>
      </c>
      <c r="I30" s="151">
        <v>0.03</v>
      </c>
      <c r="J30" s="151">
        <v>0.01</v>
      </c>
      <c r="K30" s="151">
        <v>10.1</v>
      </c>
      <c r="L30" s="151"/>
      <c r="M30" s="151">
        <v>13.4</v>
      </c>
      <c r="N30" s="151">
        <v>90.19</v>
      </c>
      <c r="O30" s="151">
        <v>16.88</v>
      </c>
      <c r="P30" s="151">
        <v>1.4</v>
      </c>
      <c r="Q30" s="136"/>
      <c r="R30" s="136"/>
      <c r="S30" s="152"/>
    </row>
    <row r="31" spans="1:19" s="15" customFormat="1" ht="18.95" customHeight="1" x14ac:dyDescent="0.2">
      <c r="A31" s="131" t="s">
        <v>1028</v>
      </c>
      <c r="B31" s="152">
        <v>90</v>
      </c>
      <c r="C31" s="152">
        <v>100</v>
      </c>
      <c r="D31" s="11">
        <f>B31</f>
        <v>90</v>
      </c>
      <c r="E31" s="19">
        <v>9.9</v>
      </c>
      <c r="F31" s="19">
        <v>7.1</v>
      </c>
      <c r="G31" s="19">
        <v>22.6</v>
      </c>
      <c r="H31" s="19">
        <v>264.11</v>
      </c>
      <c r="I31" s="19">
        <f>I32*D31/D32</f>
        <v>0.10124999999999999</v>
      </c>
      <c r="J31" s="19">
        <f>J32*D31/D32</f>
        <v>0.15750000000000003</v>
      </c>
      <c r="K31" s="19">
        <f>K32*D31/D32</f>
        <v>1.53</v>
      </c>
      <c r="L31" s="19">
        <f>L32*D31/D32</f>
        <v>0</v>
      </c>
      <c r="M31" s="19">
        <f>M32*D31/D32</f>
        <v>26.42625</v>
      </c>
      <c r="N31" s="19">
        <f>N32*D31/D32</f>
        <v>112.455</v>
      </c>
      <c r="O31" s="19">
        <f>O32*D31/D32</f>
        <v>21.037500000000001</v>
      </c>
      <c r="P31" s="19">
        <f>P32*D31/D32</f>
        <v>1.53</v>
      </c>
      <c r="Q31" s="136">
        <v>269</v>
      </c>
      <c r="R31" s="136">
        <v>2011</v>
      </c>
      <c r="S31" s="152"/>
    </row>
    <row r="32" spans="1:19" s="15" customFormat="1" ht="18.95" customHeight="1" x14ac:dyDescent="0.2">
      <c r="A32" s="131" t="s">
        <v>1147</v>
      </c>
      <c r="B32" s="152"/>
      <c r="C32" s="152"/>
      <c r="D32" s="151">
        <v>80</v>
      </c>
      <c r="E32" s="151">
        <v>8.16</v>
      </c>
      <c r="F32" s="151">
        <v>10.72</v>
      </c>
      <c r="G32" s="151">
        <v>8.26</v>
      </c>
      <c r="H32" s="151">
        <v>163</v>
      </c>
      <c r="I32" s="151">
        <v>0.09</v>
      </c>
      <c r="J32" s="151">
        <v>0.14000000000000001</v>
      </c>
      <c r="K32" s="151">
        <v>1.36</v>
      </c>
      <c r="L32" s="151"/>
      <c r="M32" s="151">
        <v>23.49</v>
      </c>
      <c r="N32" s="151">
        <v>99.96</v>
      </c>
      <c r="O32" s="151">
        <v>18.7</v>
      </c>
      <c r="P32" s="151">
        <v>1.36</v>
      </c>
      <c r="Q32" s="136"/>
      <c r="R32" s="136"/>
      <c r="S32" s="152"/>
    </row>
    <row r="33" spans="1:19" s="15" customFormat="1" ht="18.95" customHeight="1" x14ac:dyDescent="0.2">
      <c r="A33" s="131" t="s">
        <v>1171</v>
      </c>
      <c r="B33" s="152">
        <v>90</v>
      </c>
      <c r="C33" s="152">
        <v>100</v>
      </c>
      <c r="D33" s="11">
        <f>B33</f>
        <v>90</v>
      </c>
      <c r="E33" s="19">
        <v>6.09</v>
      </c>
      <c r="F33" s="19">
        <v>5.9</v>
      </c>
      <c r="G33" s="19">
        <v>15</v>
      </c>
      <c r="H33" s="19">
        <v>217.92</v>
      </c>
      <c r="I33" s="19">
        <f>I34*D33/D34</f>
        <v>8.873239436619719E-2</v>
      </c>
      <c r="J33" s="19">
        <f>J34*D33/D34</f>
        <v>0.13943661971830987</v>
      </c>
      <c r="K33" s="19">
        <f>K34*D33/D34</f>
        <v>14.577464788732394</v>
      </c>
      <c r="L33" s="19">
        <f>L34*D33/D34</f>
        <v>0</v>
      </c>
      <c r="M33" s="19">
        <f>M34*D33/D34</f>
        <v>19.115492957746479</v>
      </c>
      <c r="N33" s="19">
        <f>N34*D33/D34</f>
        <v>76.943661971830991</v>
      </c>
      <c r="O33" s="19">
        <f>O34*D33/D34</f>
        <v>12.422535211267608</v>
      </c>
      <c r="P33" s="19">
        <f>P34*D33/D34</f>
        <v>1.1788732394366197</v>
      </c>
      <c r="Q33" s="136" t="s">
        <v>31</v>
      </c>
      <c r="R33" s="136">
        <v>2011</v>
      </c>
      <c r="S33" s="152">
        <v>271</v>
      </c>
    </row>
    <row r="34" spans="1:19" s="15" customFormat="1" ht="18.95" customHeight="1" x14ac:dyDescent="0.2">
      <c r="A34" s="131" t="s">
        <v>1097</v>
      </c>
      <c r="B34" s="152"/>
      <c r="C34" s="152"/>
      <c r="D34" s="151">
        <v>71</v>
      </c>
      <c r="E34" s="151">
        <v>5.61</v>
      </c>
      <c r="F34" s="151">
        <v>8.6</v>
      </c>
      <c r="G34" s="151">
        <v>5.84</v>
      </c>
      <c r="H34" s="151">
        <v>124</v>
      </c>
      <c r="I34" s="151">
        <v>7.0000000000000007E-2</v>
      </c>
      <c r="J34" s="151">
        <v>0.11</v>
      </c>
      <c r="K34" s="151">
        <v>11.5</v>
      </c>
      <c r="L34" s="151"/>
      <c r="M34" s="151">
        <v>15.08</v>
      </c>
      <c r="N34" s="151">
        <v>60.7</v>
      </c>
      <c r="O34" s="151">
        <v>9.8000000000000007</v>
      </c>
      <c r="P34" s="151">
        <v>0.93</v>
      </c>
      <c r="Q34" s="136"/>
      <c r="R34" s="136"/>
      <c r="S34" s="152"/>
    </row>
    <row r="35" spans="1:19" s="96" customFormat="1" ht="18.95" customHeight="1" x14ac:dyDescent="0.25">
      <c r="A35" s="131" t="s">
        <v>1131</v>
      </c>
      <c r="B35" s="152">
        <v>60</v>
      </c>
      <c r="C35" s="152">
        <v>100</v>
      </c>
      <c r="D35" s="11">
        <f>B35</f>
        <v>60</v>
      </c>
      <c r="E35" s="19">
        <v>4.96</v>
      </c>
      <c r="F35" s="19">
        <v>6.11</v>
      </c>
      <c r="G35" s="19">
        <v>23.61</v>
      </c>
      <c r="H35" s="19">
        <v>241</v>
      </c>
      <c r="I35" s="19">
        <f>I36*D35/D36</f>
        <v>0.10363636363636364</v>
      </c>
      <c r="J35" s="19">
        <f>J36*D35/D36</f>
        <v>0.50181818181818183</v>
      </c>
      <c r="K35" s="19">
        <f>K36*D35/D36</f>
        <v>8.8472727272727258</v>
      </c>
      <c r="L35" s="19">
        <f>L36*D35/D36</f>
        <v>0</v>
      </c>
      <c r="M35" s="19">
        <f>M36*D35/D36</f>
        <v>11.792727272727273</v>
      </c>
      <c r="N35" s="19">
        <f>N36*D35/D36</f>
        <v>46.641818181818188</v>
      </c>
      <c r="O35" s="19">
        <f>O36*D35/D36</f>
        <v>9.4472727272727273</v>
      </c>
      <c r="P35" s="19">
        <f>P36*D35/D36</f>
        <v>0.48</v>
      </c>
      <c r="Q35" s="136" t="s">
        <v>31</v>
      </c>
      <c r="R35" s="136">
        <v>2011</v>
      </c>
      <c r="S35" s="152">
        <v>279</v>
      </c>
    </row>
    <row r="36" spans="1:19" s="14" customFormat="1" ht="18.95" customHeight="1" x14ac:dyDescent="0.25">
      <c r="A36" s="315" t="s">
        <v>1040</v>
      </c>
      <c r="B36" s="152"/>
      <c r="C36" s="152"/>
      <c r="D36" s="151">
        <v>110</v>
      </c>
      <c r="E36" s="151">
        <v>6.96</v>
      </c>
      <c r="F36" s="151">
        <v>16.11</v>
      </c>
      <c r="G36" s="151">
        <v>11.61</v>
      </c>
      <c r="H36" s="151">
        <v>223</v>
      </c>
      <c r="I36" s="151">
        <v>0.19</v>
      </c>
      <c r="J36" s="151">
        <v>0.92</v>
      </c>
      <c r="K36" s="151">
        <v>16.22</v>
      </c>
      <c r="L36" s="151"/>
      <c r="M36" s="151">
        <v>21.62</v>
      </c>
      <c r="N36" s="151">
        <v>85.51</v>
      </c>
      <c r="O36" s="151">
        <v>17.32</v>
      </c>
      <c r="P36" s="151">
        <v>0.88</v>
      </c>
      <c r="Q36" s="136"/>
      <c r="R36" s="136"/>
      <c r="S36" s="152"/>
    </row>
    <row r="37" spans="1:19" s="15" customFormat="1" ht="18.95" customHeight="1" x14ac:dyDescent="0.2">
      <c r="A37" s="131" t="s">
        <v>1081</v>
      </c>
      <c r="B37" s="25">
        <v>105</v>
      </c>
      <c r="C37" s="25" t="s">
        <v>33</v>
      </c>
      <c r="D37" s="11">
        <f>B37</f>
        <v>105</v>
      </c>
      <c r="E37" s="19">
        <f>E38*D37/D38</f>
        <v>8.4499999999999993</v>
      </c>
      <c r="F37" s="19">
        <f>F38*D37/D38</f>
        <v>11.690000000000001</v>
      </c>
      <c r="G37" s="19">
        <f>G38*D37/D38</f>
        <v>9</v>
      </c>
      <c r="H37" s="19">
        <f>H38*D37/D38</f>
        <v>184</v>
      </c>
      <c r="I37" s="19">
        <f>I38*D37/D38</f>
        <v>0.03</v>
      </c>
      <c r="J37" s="19">
        <f>J38*D37/D38</f>
        <v>0.26</v>
      </c>
      <c r="K37" s="19">
        <f>K38*D37/D38</f>
        <v>16.649999999999999</v>
      </c>
      <c r="L37" s="19">
        <f>L38*D37/D38</f>
        <v>0</v>
      </c>
      <c r="M37" s="19">
        <f>M38*D37/D38</f>
        <v>25.7</v>
      </c>
      <c r="N37" s="19">
        <f>N38*D37/D38</f>
        <v>80.97999999999999</v>
      </c>
      <c r="O37" s="19">
        <f>O38*D37/D38</f>
        <v>13.58</v>
      </c>
      <c r="P37" s="19">
        <f>P38*D37/D38</f>
        <v>5.29</v>
      </c>
      <c r="Q37" s="136">
        <v>280</v>
      </c>
      <c r="R37" s="136">
        <v>2011</v>
      </c>
      <c r="S37" s="152"/>
    </row>
    <row r="38" spans="1:19" s="15" customFormat="1" ht="18.95" customHeight="1" x14ac:dyDescent="0.2">
      <c r="A38" s="131" t="s">
        <v>1168</v>
      </c>
      <c r="B38" s="25"/>
      <c r="C38" s="25"/>
      <c r="D38" s="151">
        <v>105</v>
      </c>
      <c r="E38" s="151">
        <v>8.4499999999999993</v>
      </c>
      <c r="F38" s="151">
        <v>11.69</v>
      </c>
      <c r="G38" s="151">
        <v>9</v>
      </c>
      <c r="H38" s="151">
        <v>184</v>
      </c>
      <c r="I38" s="151">
        <v>0.03</v>
      </c>
      <c r="J38" s="151">
        <v>0.26</v>
      </c>
      <c r="K38" s="151">
        <v>16.649999999999999</v>
      </c>
      <c r="L38" s="151"/>
      <c r="M38" s="151">
        <v>25.7</v>
      </c>
      <c r="N38" s="151">
        <v>80.98</v>
      </c>
      <c r="O38" s="151">
        <v>13.58</v>
      </c>
      <c r="P38" s="151">
        <v>5.29</v>
      </c>
      <c r="Q38" s="136"/>
      <c r="R38" s="136"/>
      <c r="S38" s="152"/>
    </row>
    <row r="39" spans="1:19" s="23" customFormat="1" ht="30" customHeight="1" x14ac:dyDescent="0.25">
      <c r="A39" s="133" t="s">
        <v>920</v>
      </c>
      <c r="B39" s="152">
        <v>150</v>
      </c>
      <c r="C39" s="152">
        <v>145</v>
      </c>
      <c r="D39" s="11">
        <f>B39</f>
        <v>150</v>
      </c>
      <c r="E39" s="12">
        <f>E40*D39/D40</f>
        <v>17.213793103448275</v>
      </c>
      <c r="F39" s="12">
        <f>F40*D39/D40</f>
        <v>21.610344827586207</v>
      </c>
      <c r="G39" s="12">
        <f>G40*D39/D40</f>
        <v>20.482758620689655</v>
      </c>
      <c r="H39" s="12">
        <f>H40*D39/D40</f>
        <v>336.20689655172413</v>
      </c>
      <c r="I39" s="12">
        <f>I40*D39/D40</f>
        <v>0.25862068965517243</v>
      </c>
      <c r="J39" s="12">
        <f>J40*D39/D40</f>
        <v>4.9448275862068964</v>
      </c>
      <c r="K39" s="12">
        <f>K40*D39/D40</f>
        <v>20.689655172413794</v>
      </c>
      <c r="L39" s="12">
        <f>L40*D39/D40</f>
        <v>0</v>
      </c>
      <c r="M39" s="12">
        <f>M40*D39/D40</f>
        <v>43.913793103448278</v>
      </c>
      <c r="N39" s="12">
        <f>N40*D39/D40</f>
        <v>292.91379310344826</v>
      </c>
      <c r="O39" s="12">
        <f>O40*D39/D40</f>
        <v>109.81034482758621</v>
      </c>
      <c r="P39" s="12">
        <f>P40*D39/D40</f>
        <v>3.9620689655172412</v>
      </c>
      <c r="Q39" s="136">
        <v>284</v>
      </c>
      <c r="R39" s="136">
        <v>2011</v>
      </c>
      <c r="S39" s="22"/>
    </row>
    <row r="40" spans="1:19" s="23" customFormat="1" ht="18.95" customHeight="1" x14ac:dyDescent="0.25">
      <c r="A40" s="132"/>
      <c r="B40" s="152"/>
      <c r="C40" s="152"/>
      <c r="D40" s="151">
        <v>145</v>
      </c>
      <c r="E40" s="151">
        <v>16.64</v>
      </c>
      <c r="F40" s="151">
        <v>20.89</v>
      </c>
      <c r="G40" s="151">
        <v>19.8</v>
      </c>
      <c r="H40" s="151">
        <v>325</v>
      </c>
      <c r="I40" s="151">
        <v>0.25</v>
      </c>
      <c r="J40" s="151">
        <v>4.78</v>
      </c>
      <c r="K40" s="151">
        <v>20</v>
      </c>
      <c r="L40" s="151"/>
      <c r="M40" s="151">
        <v>42.45</v>
      </c>
      <c r="N40" s="151">
        <v>283.14999999999998</v>
      </c>
      <c r="O40" s="151">
        <v>106.15</v>
      </c>
      <c r="P40" s="151">
        <v>3.83</v>
      </c>
      <c r="Q40" s="136"/>
      <c r="R40" s="136"/>
      <c r="S40" s="22"/>
    </row>
    <row r="41" spans="1:19" s="23" customFormat="1" ht="30" customHeight="1" x14ac:dyDescent="0.25">
      <c r="A41" s="133" t="s">
        <v>921</v>
      </c>
      <c r="B41" s="152">
        <v>150</v>
      </c>
      <c r="C41" s="152">
        <v>145</v>
      </c>
      <c r="D41" s="11">
        <f>B41</f>
        <v>150</v>
      </c>
      <c r="E41" s="12">
        <f>E42*D41/D42</f>
        <v>15.785172413793102</v>
      </c>
      <c r="F41" s="12">
        <f>F42*D41/D42</f>
        <v>12.80689655172414</v>
      </c>
      <c r="G41" s="12">
        <f>G42*D41/D42</f>
        <v>19.5</v>
      </c>
      <c r="H41" s="12">
        <f>H42*D41/D42</f>
        <v>264.82758620689657</v>
      </c>
      <c r="I41" s="12">
        <f>I42*D41/D42</f>
        <v>0.40344827586206894</v>
      </c>
      <c r="J41" s="12">
        <f>J42*D41/D42</f>
        <v>16.603448275862068</v>
      </c>
      <c r="K41" s="12">
        <f>K42*D41/D42</f>
        <v>6297.9310344827591</v>
      </c>
      <c r="L41" s="12">
        <f>L42*D41/D42</f>
        <v>0</v>
      </c>
      <c r="M41" s="12">
        <f>M42*D41/D42</f>
        <v>43.489655172413791</v>
      </c>
      <c r="N41" s="12">
        <f>N42*D41/D42</f>
        <v>371.83448275862071</v>
      </c>
      <c r="O41" s="12">
        <f>O42*D41/D42</f>
        <v>69.031034482758628</v>
      </c>
      <c r="P41" s="12">
        <f>P42*D41/D42</f>
        <v>6.568965517241379</v>
      </c>
      <c r="Q41" s="136">
        <v>284</v>
      </c>
      <c r="R41" s="136">
        <v>2011</v>
      </c>
      <c r="S41" s="22"/>
    </row>
    <row r="42" spans="1:19" s="23" customFormat="1" ht="18.95" customHeight="1" x14ac:dyDescent="0.25">
      <c r="A42" s="132"/>
      <c r="B42" s="152"/>
      <c r="C42" s="152"/>
      <c r="D42" s="151">
        <v>145</v>
      </c>
      <c r="E42" s="151">
        <v>15.259</v>
      </c>
      <c r="F42" s="151">
        <v>12.38</v>
      </c>
      <c r="G42" s="151">
        <v>18.850000000000001</v>
      </c>
      <c r="H42" s="151">
        <v>256</v>
      </c>
      <c r="I42" s="151">
        <v>0.39</v>
      </c>
      <c r="J42" s="151">
        <v>16.05</v>
      </c>
      <c r="K42" s="151">
        <v>6088</v>
      </c>
      <c r="L42" s="151"/>
      <c r="M42" s="151">
        <v>42.04</v>
      </c>
      <c r="N42" s="151">
        <v>359.44</v>
      </c>
      <c r="O42" s="151">
        <v>66.73</v>
      </c>
      <c r="P42" s="151">
        <v>6.35</v>
      </c>
      <c r="Q42" s="136"/>
      <c r="R42" s="136"/>
      <c r="S42" s="22"/>
    </row>
    <row r="43" spans="1:19" s="96" customFormat="1" ht="18.95" customHeight="1" x14ac:dyDescent="0.25">
      <c r="A43" s="131" t="s">
        <v>922</v>
      </c>
      <c r="B43" s="152">
        <v>90</v>
      </c>
      <c r="C43" s="152" t="s">
        <v>34</v>
      </c>
      <c r="D43" s="11">
        <f>B43</f>
        <v>90</v>
      </c>
      <c r="E43" s="19">
        <f>E44*D43/D44</f>
        <v>21.131999999999998</v>
      </c>
      <c r="F43" s="19">
        <f>F44*D43/D44</f>
        <v>23.238000000000003</v>
      </c>
      <c r="G43" s="19">
        <f>G44*D43/D44</f>
        <v>0.43199999999999994</v>
      </c>
      <c r="H43" s="19">
        <f>H44*D43/D44</f>
        <v>295.2</v>
      </c>
      <c r="I43" s="19">
        <f>I44*D43/D44</f>
        <v>3.6000000000000004E-2</v>
      </c>
      <c r="J43" s="19">
        <f>J44*D43/D44</f>
        <v>2.1239999999999997</v>
      </c>
      <c r="K43" s="19">
        <f>K44*D43/D44</f>
        <v>88.38</v>
      </c>
      <c r="L43" s="19">
        <f>L44*D43/D44</f>
        <v>0</v>
      </c>
      <c r="M43" s="19">
        <f>M44*D43/D44</f>
        <v>50.4</v>
      </c>
      <c r="N43" s="19">
        <f>N44*D43/D44</f>
        <v>150.30000000000001</v>
      </c>
      <c r="O43" s="19">
        <f>O44*D43/D44</f>
        <v>18.251999999999999</v>
      </c>
      <c r="P43" s="19">
        <f>P44*D43/D44</f>
        <v>1.71</v>
      </c>
      <c r="Q43" s="136">
        <v>288</v>
      </c>
      <c r="R43" s="136">
        <v>2011</v>
      </c>
      <c r="S43" s="152"/>
    </row>
    <row r="44" spans="1:19" s="14" customFormat="1" ht="18.95" customHeight="1" x14ac:dyDescent="0.25">
      <c r="A44" s="132" t="s">
        <v>1113</v>
      </c>
      <c r="B44" s="152"/>
      <c r="C44" s="152"/>
      <c r="D44" s="151">
        <v>50</v>
      </c>
      <c r="E44" s="151">
        <v>11.74</v>
      </c>
      <c r="F44" s="151">
        <v>12.91</v>
      </c>
      <c r="G44" s="151">
        <v>0.24</v>
      </c>
      <c r="H44" s="151">
        <v>164</v>
      </c>
      <c r="I44" s="151">
        <v>0.02</v>
      </c>
      <c r="J44" s="151">
        <v>1.18</v>
      </c>
      <c r="K44" s="151">
        <v>49.1</v>
      </c>
      <c r="L44" s="151"/>
      <c r="M44" s="151">
        <v>28</v>
      </c>
      <c r="N44" s="151">
        <v>83.5</v>
      </c>
      <c r="O44" s="151">
        <v>10.14</v>
      </c>
      <c r="P44" s="151">
        <v>0.95</v>
      </c>
      <c r="Q44" s="136"/>
      <c r="R44" s="136"/>
      <c r="S44" s="152"/>
    </row>
    <row r="45" spans="1:19" s="14" customFormat="1" ht="18.95" customHeight="1" x14ac:dyDescent="0.25">
      <c r="A45" s="131" t="s">
        <v>1066</v>
      </c>
      <c r="B45" s="152">
        <v>100</v>
      </c>
      <c r="C45" s="152">
        <v>80</v>
      </c>
      <c r="D45" s="11">
        <f>B45</f>
        <v>100</v>
      </c>
      <c r="E45" s="19">
        <f>E46*D45/D46</f>
        <v>7.177142857142857</v>
      </c>
      <c r="F45" s="19">
        <f>F46*D45/D46</f>
        <v>6.6971428571428575</v>
      </c>
      <c r="G45" s="19">
        <f>G46*D45/D46</f>
        <v>8.6857142857142851</v>
      </c>
      <c r="H45" s="19">
        <f>H46*D45/D46</f>
        <v>124</v>
      </c>
      <c r="I45" s="19">
        <f>I46*D45/D46</f>
        <v>4.0000000000000008E-2</v>
      </c>
      <c r="J45" s="19">
        <f>J46*D45/D46</f>
        <v>6.4742857142857142</v>
      </c>
      <c r="K45" s="19">
        <f>K46*D45/D46</f>
        <v>8.3428571428571434</v>
      </c>
      <c r="L45" s="19">
        <f>L46*D45/D46</f>
        <v>0</v>
      </c>
      <c r="M45" s="19">
        <f>M46*D45/D46</f>
        <v>21.028571428571425</v>
      </c>
      <c r="N45" s="19">
        <f>N46*D45/D46</f>
        <v>61.828571428571429</v>
      </c>
      <c r="O45" s="19">
        <f>O46*D45/D46</f>
        <v>22.114285714285717</v>
      </c>
      <c r="P45" s="19">
        <f>P46*D45/D46</f>
        <v>1.0971428571428572</v>
      </c>
      <c r="Q45" s="136">
        <v>289</v>
      </c>
      <c r="R45" s="136">
        <v>2011</v>
      </c>
      <c r="S45" s="152"/>
    </row>
    <row r="46" spans="1:19" s="14" customFormat="1" ht="18.95" customHeight="1" x14ac:dyDescent="0.25">
      <c r="A46" s="131" t="s">
        <v>1045</v>
      </c>
      <c r="B46" s="152"/>
      <c r="C46" s="152"/>
      <c r="D46" s="151">
        <v>175</v>
      </c>
      <c r="E46" s="151">
        <v>12.56</v>
      </c>
      <c r="F46" s="151">
        <v>11.72</v>
      </c>
      <c r="G46" s="151">
        <v>15.2</v>
      </c>
      <c r="H46" s="151">
        <v>217</v>
      </c>
      <c r="I46" s="151">
        <v>7.0000000000000007E-2</v>
      </c>
      <c r="J46" s="151">
        <v>11.33</v>
      </c>
      <c r="K46" s="151">
        <v>14.6</v>
      </c>
      <c r="L46" s="151"/>
      <c r="M46" s="151">
        <v>36.799999999999997</v>
      </c>
      <c r="N46" s="151">
        <v>108.2</v>
      </c>
      <c r="O46" s="151">
        <v>38.700000000000003</v>
      </c>
      <c r="P46" s="151">
        <v>1.92</v>
      </c>
      <c r="Q46" s="136"/>
      <c r="R46" s="136"/>
      <c r="S46" s="152"/>
    </row>
    <row r="47" spans="1:19" s="96" customFormat="1" ht="18.95" customHeight="1" x14ac:dyDescent="0.25">
      <c r="A47" s="131" t="s">
        <v>923</v>
      </c>
      <c r="B47" s="152">
        <v>90</v>
      </c>
      <c r="C47" s="152">
        <v>80</v>
      </c>
      <c r="D47" s="11">
        <f>B47</f>
        <v>90</v>
      </c>
      <c r="E47" s="19">
        <f>E48*D47/D48</f>
        <v>11.952</v>
      </c>
      <c r="F47" s="19">
        <f>F48*D47/D48</f>
        <v>9.7560000000000002</v>
      </c>
      <c r="G47" s="19">
        <f>G48*D47/D48</f>
        <v>2.61</v>
      </c>
      <c r="H47" s="19">
        <f>H48*D47/D48</f>
        <v>145.80000000000001</v>
      </c>
      <c r="I47" s="19">
        <f>I48*D47/D48</f>
        <v>3.6000000000000004E-2</v>
      </c>
      <c r="J47" s="19">
        <f>J48*D47/D48</f>
        <v>0.31499999999999995</v>
      </c>
      <c r="K47" s="19">
        <f>K48*D47/D48</f>
        <v>27.09</v>
      </c>
      <c r="L47" s="19">
        <f>L48*D47/D48</f>
        <v>0</v>
      </c>
      <c r="M47" s="19">
        <f>M48*D47/D48</f>
        <v>26.568000000000001</v>
      </c>
      <c r="N47" s="19">
        <f>N48*D47/D48</f>
        <v>69.237000000000009</v>
      </c>
      <c r="O47" s="19">
        <f>O48*D47/D48</f>
        <v>12.654000000000002</v>
      </c>
      <c r="P47" s="19">
        <f>P48*D47/D48</f>
        <v>0.54899999999999993</v>
      </c>
      <c r="Q47" s="136">
        <v>290</v>
      </c>
      <c r="R47" s="136">
        <v>2011</v>
      </c>
      <c r="S47" s="152"/>
    </row>
    <row r="48" spans="1:19" s="14" customFormat="1" ht="18.95" customHeight="1" x14ac:dyDescent="0.25">
      <c r="A48" s="132"/>
      <c r="B48" s="152"/>
      <c r="C48" s="152"/>
      <c r="D48" s="151">
        <v>100</v>
      </c>
      <c r="E48" s="151">
        <v>13.28</v>
      </c>
      <c r="F48" s="151">
        <v>10.84</v>
      </c>
      <c r="G48" s="151">
        <v>2.9</v>
      </c>
      <c r="H48" s="151">
        <v>162</v>
      </c>
      <c r="I48" s="151">
        <v>0.04</v>
      </c>
      <c r="J48" s="151">
        <v>0.35</v>
      </c>
      <c r="K48" s="151">
        <v>30.1</v>
      </c>
      <c r="L48" s="151"/>
      <c r="M48" s="151">
        <v>29.52</v>
      </c>
      <c r="N48" s="151">
        <v>76.930000000000007</v>
      </c>
      <c r="O48" s="151">
        <v>14.06</v>
      </c>
      <c r="P48" s="151">
        <v>0.61</v>
      </c>
      <c r="Q48" s="136"/>
      <c r="R48" s="136"/>
      <c r="S48" s="152"/>
    </row>
    <row r="49" spans="1:19" s="15" customFormat="1" ht="18.95" customHeight="1" x14ac:dyDescent="0.2">
      <c r="A49" s="131" t="s">
        <v>1086</v>
      </c>
      <c r="B49" s="152">
        <v>200</v>
      </c>
      <c r="C49" s="97">
        <v>150</v>
      </c>
      <c r="D49" s="11">
        <f>B49</f>
        <v>200</v>
      </c>
      <c r="E49" s="19">
        <f>E50*D49/D50</f>
        <v>16.946666666666665</v>
      </c>
      <c r="F49" s="19">
        <f>F50*D49/D50</f>
        <v>10.466666666666667</v>
      </c>
      <c r="G49" s="19">
        <f>G50*D49/D50</f>
        <v>35.733333333333334</v>
      </c>
      <c r="H49" s="19">
        <f>H50*D49/D50</f>
        <v>305.33333333333331</v>
      </c>
      <c r="I49" s="19">
        <f>I50*D49/D50</f>
        <v>0.10666666666666667</v>
      </c>
      <c r="J49" s="19">
        <f>J50*D49/D50</f>
        <v>6.0266666666666655</v>
      </c>
      <c r="K49" s="19">
        <f>K50*D49/D50</f>
        <v>19.466666666666665</v>
      </c>
      <c r="L49" s="19">
        <f>L50*D49/D50</f>
        <v>0</v>
      </c>
      <c r="M49" s="19">
        <f>M50*D49/D50</f>
        <v>5.0133333333333336</v>
      </c>
      <c r="N49" s="19">
        <f>N50*D49/D50</f>
        <v>175.33333333333334</v>
      </c>
      <c r="O49" s="19">
        <f>O50*D49/D50</f>
        <v>54.04</v>
      </c>
      <c r="P49" s="19">
        <f>P50*D49/D50</f>
        <v>1.9733333333333334</v>
      </c>
      <c r="Q49" s="136">
        <v>291</v>
      </c>
      <c r="R49" s="136">
        <v>2011</v>
      </c>
      <c r="S49" s="152"/>
    </row>
    <row r="50" spans="1:19" s="15" customFormat="1" ht="18.95" customHeight="1" x14ac:dyDescent="0.2">
      <c r="A50" s="131" t="s">
        <v>1172</v>
      </c>
      <c r="B50" s="152"/>
      <c r="C50" s="152"/>
      <c r="D50" s="151">
        <v>150</v>
      </c>
      <c r="E50" s="151">
        <v>12.71</v>
      </c>
      <c r="F50" s="151">
        <v>7.85</v>
      </c>
      <c r="G50" s="151">
        <v>26.8</v>
      </c>
      <c r="H50" s="151">
        <v>229</v>
      </c>
      <c r="I50" s="151">
        <v>0.08</v>
      </c>
      <c r="J50" s="151">
        <v>4.5199999999999996</v>
      </c>
      <c r="K50" s="151">
        <v>14.6</v>
      </c>
      <c r="L50" s="151"/>
      <c r="M50" s="151">
        <v>3.76</v>
      </c>
      <c r="N50" s="151">
        <v>131.5</v>
      </c>
      <c r="O50" s="151">
        <v>40.53</v>
      </c>
      <c r="P50" s="151">
        <v>1.48</v>
      </c>
      <c r="Q50" s="136"/>
      <c r="R50" s="136"/>
      <c r="S50" s="152"/>
    </row>
    <row r="51" spans="1:19" s="15" customFormat="1" ht="18.95" customHeight="1" x14ac:dyDescent="0.2">
      <c r="A51" s="131" t="s">
        <v>1145</v>
      </c>
      <c r="B51" s="152">
        <v>90</v>
      </c>
      <c r="C51" s="152">
        <v>150</v>
      </c>
      <c r="D51" s="11">
        <f>B51</f>
        <v>90</v>
      </c>
      <c r="E51" s="19">
        <f>E52*D51/D52</f>
        <v>8.202</v>
      </c>
      <c r="F51" s="19">
        <f>F52*D51/D52</f>
        <v>7.05</v>
      </c>
      <c r="G51" s="19">
        <v>18.739999999999998</v>
      </c>
      <c r="H51" s="19">
        <v>121.89</v>
      </c>
      <c r="I51" s="19">
        <f>I52*D51/D52</f>
        <v>7.8000000000000014E-2</v>
      </c>
      <c r="J51" s="19">
        <f>J52*D51/D52</f>
        <v>5.2079999999999993</v>
      </c>
      <c r="K51" s="19">
        <f>K52*D51/D52</f>
        <v>33.659999999999997</v>
      </c>
      <c r="L51" s="19">
        <f>L52*D51/D52</f>
        <v>0</v>
      </c>
      <c r="M51" s="19">
        <f>M52*D51/D52</f>
        <v>36.6</v>
      </c>
      <c r="N51" s="19">
        <f>N52*D51/D52</f>
        <v>88.2</v>
      </c>
      <c r="O51" s="19">
        <f>O52*D51/D52</f>
        <v>20.076000000000001</v>
      </c>
      <c r="P51" s="19">
        <f>P52*D51/D52</f>
        <v>1.962</v>
      </c>
      <c r="Q51" s="136">
        <v>292</v>
      </c>
      <c r="R51" s="136">
        <v>2011</v>
      </c>
      <c r="S51" s="152"/>
    </row>
    <row r="52" spans="1:19" s="15" customFormat="1" ht="18.95" customHeight="1" x14ac:dyDescent="0.2">
      <c r="A52" s="131" t="s">
        <v>1058</v>
      </c>
      <c r="B52" s="152"/>
      <c r="C52" s="152"/>
      <c r="D52" s="151">
        <v>150</v>
      </c>
      <c r="E52" s="151">
        <v>13.67</v>
      </c>
      <c r="F52" s="151">
        <v>11.75</v>
      </c>
      <c r="G52" s="151">
        <v>12.9</v>
      </c>
      <c r="H52" s="151">
        <v>212</v>
      </c>
      <c r="I52" s="151">
        <v>0.13</v>
      </c>
      <c r="J52" s="151">
        <v>8.68</v>
      </c>
      <c r="K52" s="151">
        <v>56.1</v>
      </c>
      <c r="L52" s="151"/>
      <c r="M52" s="151">
        <v>61</v>
      </c>
      <c r="N52" s="151">
        <v>147</v>
      </c>
      <c r="O52" s="151">
        <v>33.46</v>
      </c>
      <c r="P52" s="151">
        <v>3.27</v>
      </c>
      <c r="Q52" s="136"/>
      <c r="R52" s="136"/>
      <c r="S52" s="152"/>
    </row>
    <row r="53" spans="1:19" s="15" customFormat="1" ht="18.95" customHeight="1" x14ac:dyDescent="0.2">
      <c r="A53" s="131" t="s">
        <v>1170</v>
      </c>
      <c r="B53" s="152">
        <v>90</v>
      </c>
      <c r="C53" s="97">
        <v>100</v>
      </c>
      <c r="D53" s="11">
        <f>B53</f>
        <v>90</v>
      </c>
      <c r="E53" s="19">
        <v>10.7</v>
      </c>
      <c r="F53" s="19">
        <v>10.08</v>
      </c>
      <c r="G53" s="19">
        <v>16.899999999999999</v>
      </c>
      <c r="H53" s="19">
        <v>113</v>
      </c>
      <c r="I53" s="19">
        <f>I54*D53/D54</f>
        <v>0.18</v>
      </c>
      <c r="J53" s="19">
        <f>J54*D53/D54</f>
        <v>0.81</v>
      </c>
      <c r="K53" s="19">
        <f>K54*D53/D54</f>
        <v>48.42</v>
      </c>
      <c r="L53" s="19">
        <f>L54*D53/D54</f>
        <v>0</v>
      </c>
      <c r="M53" s="19">
        <f>M54*D53/D54</f>
        <v>53.802</v>
      </c>
      <c r="N53" s="19">
        <f>N54*D53/D54</f>
        <v>72</v>
      </c>
      <c r="O53" s="19">
        <f>O54*D53/D54</f>
        <v>19.98</v>
      </c>
      <c r="P53" s="19">
        <f>P54*D53/D54</f>
        <v>3.258</v>
      </c>
      <c r="Q53" s="136" t="s">
        <v>1012</v>
      </c>
      <c r="R53" s="136">
        <v>2011</v>
      </c>
      <c r="S53" s="152"/>
    </row>
    <row r="54" spans="1:19" s="15" customFormat="1" ht="18.95" customHeight="1" x14ac:dyDescent="0.2">
      <c r="A54" s="133" t="s">
        <v>1067</v>
      </c>
      <c r="B54" s="152"/>
      <c r="C54" s="152"/>
      <c r="D54" s="151">
        <v>50</v>
      </c>
      <c r="E54" s="151">
        <v>8.7200000000000006</v>
      </c>
      <c r="F54" s="151">
        <v>8.3800000000000008</v>
      </c>
      <c r="G54" s="151">
        <v>8.14</v>
      </c>
      <c r="H54" s="151">
        <v>143</v>
      </c>
      <c r="I54" s="151">
        <v>0.1</v>
      </c>
      <c r="J54" s="151">
        <v>0.45</v>
      </c>
      <c r="K54" s="151">
        <v>26.9</v>
      </c>
      <c r="L54" s="151"/>
      <c r="M54" s="151">
        <v>29.89</v>
      </c>
      <c r="N54" s="151">
        <v>40</v>
      </c>
      <c r="O54" s="151">
        <v>11.1</v>
      </c>
      <c r="P54" s="151">
        <v>1.81</v>
      </c>
      <c r="Q54" s="136"/>
      <c r="R54" s="136"/>
      <c r="S54" s="152"/>
    </row>
  </sheetData>
  <mergeCells count="8">
    <mergeCell ref="A1:S1"/>
    <mergeCell ref="Q2:S2"/>
    <mergeCell ref="A2:A3"/>
    <mergeCell ref="B2:C2"/>
    <mergeCell ref="D2:D3"/>
    <mergeCell ref="E2:H2"/>
    <mergeCell ref="I2:L2"/>
    <mergeCell ref="M2:P2"/>
  </mergeCells>
  <pageMargins left="0.7" right="0.7" top="0.75" bottom="0.75"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6"/>
  <sheetViews>
    <sheetView workbookViewId="0">
      <selection sqref="A1:B1"/>
    </sheetView>
  </sheetViews>
  <sheetFormatPr defaultRowHeight="12.75" x14ac:dyDescent="0.2"/>
  <cols>
    <col min="1" max="41" width="10.7109375" style="33" customWidth="1"/>
    <col min="42" max="16384" width="9.140625" style="33"/>
  </cols>
  <sheetData>
    <row r="1" spans="1:40" x14ac:dyDescent="0.2">
      <c r="A1" s="454" t="s">
        <v>214</v>
      </c>
      <c r="B1" s="454"/>
      <c r="F1" s="454" t="s">
        <v>215</v>
      </c>
      <c r="G1" s="454"/>
      <c r="H1" s="454"/>
      <c r="I1" s="454" t="s">
        <v>214</v>
      </c>
      <c r="J1" s="454"/>
      <c r="N1" s="454" t="s">
        <v>215</v>
      </c>
      <c r="O1" s="454"/>
      <c r="P1" s="454"/>
      <c r="Q1" s="454" t="s">
        <v>214</v>
      </c>
      <c r="R1" s="454"/>
      <c r="V1" s="454" t="s">
        <v>215</v>
      </c>
      <c r="W1" s="454"/>
      <c r="X1" s="454"/>
      <c r="Y1" s="454" t="s">
        <v>214</v>
      </c>
      <c r="Z1" s="454"/>
      <c r="AD1" s="454" t="s">
        <v>215</v>
      </c>
      <c r="AE1" s="454"/>
      <c r="AF1" s="454"/>
      <c r="AG1" s="454" t="s">
        <v>214</v>
      </c>
      <c r="AH1" s="454"/>
      <c r="AL1" s="454" t="s">
        <v>215</v>
      </c>
      <c r="AM1" s="454"/>
      <c r="AN1" s="454"/>
    </row>
    <row r="2" spans="1:40" x14ac:dyDescent="0.2">
      <c r="E2" s="454" t="s">
        <v>216</v>
      </c>
      <c r="F2" s="454"/>
      <c r="G2" s="454"/>
      <c r="H2" s="454"/>
      <c r="M2" s="454" t="s">
        <v>216</v>
      </c>
      <c r="N2" s="454"/>
      <c r="O2" s="454"/>
      <c r="P2" s="454"/>
      <c r="U2" s="454" t="s">
        <v>216</v>
      </c>
      <c r="V2" s="454"/>
      <c r="W2" s="454"/>
      <c r="X2" s="454"/>
      <c r="AC2" s="454" t="s">
        <v>216</v>
      </c>
      <c r="AD2" s="454"/>
      <c r="AE2" s="454"/>
      <c r="AF2" s="454"/>
      <c r="AK2" s="454" t="s">
        <v>216</v>
      </c>
      <c r="AL2" s="454"/>
      <c r="AM2" s="454"/>
      <c r="AN2" s="454"/>
    </row>
    <row r="3" spans="1:40" x14ac:dyDescent="0.2">
      <c r="E3" s="150"/>
      <c r="F3" s="150"/>
      <c r="G3" s="150"/>
      <c r="H3" s="150"/>
      <c r="M3" s="150"/>
      <c r="N3" s="150"/>
      <c r="O3" s="150"/>
      <c r="P3" s="150"/>
      <c r="U3" s="150"/>
      <c r="V3" s="150"/>
      <c r="W3" s="150"/>
      <c r="X3" s="150"/>
      <c r="AC3" s="150"/>
      <c r="AD3" s="150"/>
      <c r="AE3" s="150"/>
      <c r="AF3" s="150"/>
      <c r="AK3" s="150"/>
      <c r="AL3" s="150"/>
      <c r="AM3" s="150"/>
      <c r="AN3" s="150"/>
    </row>
    <row r="4" spans="1:40" ht="18.95" customHeight="1" x14ac:dyDescent="0.2">
      <c r="A4" s="414" t="s">
        <v>368</v>
      </c>
      <c r="B4" s="414"/>
      <c r="C4" s="414"/>
      <c r="D4" s="414"/>
      <c r="E4" s="414"/>
      <c r="F4" s="414"/>
      <c r="G4" s="414"/>
      <c r="H4" s="414"/>
      <c r="I4" s="414" t="s">
        <v>369</v>
      </c>
      <c r="J4" s="414"/>
      <c r="K4" s="414"/>
      <c r="L4" s="414"/>
      <c r="M4" s="414"/>
      <c r="N4" s="414"/>
      <c r="O4" s="414"/>
      <c r="P4" s="414"/>
      <c r="Q4" s="414" t="s">
        <v>390</v>
      </c>
      <c r="R4" s="414"/>
      <c r="S4" s="414"/>
      <c r="T4" s="414"/>
      <c r="U4" s="414"/>
      <c r="V4" s="414"/>
      <c r="W4" s="414"/>
      <c r="X4" s="414"/>
      <c r="Y4" s="414" t="s">
        <v>391</v>
      </c>
      <c r="Z4" s="414"/>
      <c r="AA4" s="414"/>
      <c r="AB4" s="414"/>
      <c r="AC4" s="414"/>
      <c r="AD4" s="414"/>
      <c r="AE4" s="414"/>
      <c r="AF4" s="414"/>
      <c r="AG4" s="414" t="s">
        <v>419</v>
      </c>
      <c r="AH4" s="414"/>
      <c r="AI4" s="414"/>
      <c r="AJ4" s="414"/>
      <c r="AK4" s="414"/>
      <c r="AL4" s="414"/>
      <c r="AM4" s="414"/>
      <c r="AN4" s="414"/>
    </row>
    <row r="5" spans="1:40" ht="18.95" customHeight="1" x14ac:dyDescent="0.2">
      <c r="A5" s="473" t="s">
        <v>394</v>
      </c>
      <c r="B5" s="465"/>
      <c r="C5" s="465"/>
      <c r="D5" s="465"/>
      <c r="E5" s="465"/>
      <c r="F5" s="465"/>
      <c r="G5" s="465"/>
      <c r="H5" s="465"/>
      <c r="I5" s="473" t="s">
        <v>408</v>
      </c>
      <c r="J5" s="465"/>
      <c r="K5" s="465"/>
      <c r="L5" s="465"/>
      <c r="M5" s="465"/>
      <c r="N5" s="465"/>
      <c r="O5" s="465"/>
      <c r="P5" s="465"/>
      <c r="Q5" s="473" t="s">
        <v>1006</v>
      </c>
      <c r="R5" s="465"/>
      <c r="S5" s="465"/>
      <c r="T5" s="465"/>
      <c r="U5" s="465"/>
      <c r="V5" s="465"/>
      <c r="W5" s="465"/>
      <c r="X5" s="465"/>
      <c r="Y5" s="473" t="s">
        <v>422</v>
      </c>
      <c r="Z5" s="465"/>
      <c r="AA5" s="465"/>
      <c r="AB5" s="465"/>
      <c r="AC5" s="465"/>
      <c r="AD5" s="465"/>
      <c r="AE5" s="465"/>
      <c r="AF5" s="465"/>
      <c r="AG5" s="473" t="s">
        <v>425</v>
      </c>
      <c r="AH5" s="465"/>
      <c r="AI5" s="465"/>
      <c r="AJ5" s="465"/>
      <c r="AK5" s="465"/>
      <c r="AL5" s="465"/>
      <c r="AM5" s="465"/>
      <c r="AN5" s="465"/>
    </row>
    <row r="6" spans="1:40" ht="18.95" customHeight="1" x14ac:dyDescent="0.2">
      <c r="A6" s="473" t="s">
        <v>396</v>
      </c>
      <c r="B6" s="473"/>
      <c r="C6" s="473"/>
      <c r="D6" s="473"/>
      <c r="E6" s="473"/>
      <c r="F6" s="473"/>
      <c r="G6" s="473"/>
      <c r="H6" s="473"/>
      <c r="I6" s="473" t="s">
        <v>407</v>
      </c>
      <c r="J6" s="473"/>
      <c r="K6" s="473"/>
      <c r="L6" s="473"/>
      <c r="M6" s="473"/>
      <c r="N6" s="473"/>
      <c r="O6" s="473"/>
      <c r="P6" s="473"/>
      <c r="Q6" s="473" t="s">
        <v>1007</v>
      </c>
      <c r="R6" s="473"/>
      <c r="S6" s="473"/>
      <c r="T6" s="473"/>
      <c r="U6" s="473"/>
      <c r="V6" s="473"/>
      <c r="W6" s="473"/>
      <c r="X6" s="473"/>
      <c r="Y6" s="473" t="s">
        <v>420</v>
      </c>
      <c r="Z6" s="473"/>
      <c r="AA6" s="473"/>
      <c r="AB6" s="473"/>
      <c r="AC6" s="473"/>
      <c r="AD6" s="473"/>
      <c r="AE6" s="473"/>
      <c r="AF6" s="473"/>
      <c r="AG6" s="473" t="s">
        <v>421</v>
      </c>
      <c r="AH6" s="473"/>
      <c r="AI6" s="473"/>
      <c r="AJ6" s="473"/>
      <c r="AK6" s="473"/>
      <c r="AL6" s="473"/>
      <c r="AM6" s="473"/>
      <c r="AN6" s="473"/>
    </row>
    <row r="7" spans="1:40" ht="18.95" customHeight="1" x14ac:dyDescent="0.2">
      <c r="A7" s="465" t="s">
        <v>189</v>
      </c>
      <c r="B7" s="465"/>
      <c r="C7" s="465"/>
      <c r="D7" s="465"/>
      <c r="E7" s="465"/>
      <c r="F7" s="465"/>
      <c r="G7" s="465"/>
      <c r="H7" s="465"/>
      <c r="I7" s="465" t="s">
        <v>189</v>
      </c>
      <c r="J7" s="465"/>
      <c r="K7" s="465"/>
      <c r="L7" s="465"/>
      <c r="M7" s="465"/>
      <c r="N7" s="465"/>
      <c r="O7" s="465"/>
      <c r="P7" s="465"/>
      <c r="Q7" s="465" t="s">
        <v>189</v>
      </c>
      <c r="R7" s="465"/>
      <c r="S7" s="465"/>
      <c r="T7" s="465"/>
      <c r="U7" s="465"/>
      <c r="V7" s="465"/>
      <c r="W7" s="465"/>
      <c r="X7" s="465"/>
      <c r="Y7" s="465" t="s">
        <v>189</v>
      </c>
      <c r="Z7" s="465"/>
      <c r="AA7" s="465"/>
      <c r="AB7" s="465"/>
      <c r="AC7" s="465"/>
      <c r="AD7" s="465"/>
      <c r="AE7" s="465"/>
      <c r="AF7" s="465"/>
      <c r="AG7" s="465" t="s">
        <v>189</v>
      </c>
      <c r="AH7" s="465"/>
      <c r="AI7" s="465"/>
      <c r="AJ7" s="465"/>
      <c r="AK7" s="465"/>
      <c r="AL7" s="465"/>
      <c r="AM7" s="465"/>
      <c r="AN7" s="465"/>
    </row>
    <row r="8" spans="1:40" ht="18.95" customHeight="1" x14ac:dyDescent="0.2">
      <c r="A8" s="465" t="s">
        <v>190</v>
      </c>
      <c r="B8" s="465"/>
      <c r="C8" s="465"/>
      <c r="D8" s="465"/>
      <c r="E8" s="465"/>
      <c r="F8" s="465"/>
      <c r="G8" s="465"/>
      <c r="H8" s="465"/>
      <c r="I8" s="465" t="s">
        <v>190</v>
      </c>
      <c r="J8" s="465"/>
      <c r="K8" s="465"/>
      <c r="L8" s="465"/>
      <c r="M8" s="465"/>
      <c r="N8" s="465"/>
      <c r="O8" s="465"/>
      <c r="P8" s="465"/>
      <c r="Q8" s="465" t="s">
        <v>190</v>
      </c>
      <c r="R8" s="465"/>
      <c r="S8" s="465"/>
      <c r="T8" s="465"/>
      <c r="U8" s="465"/>
      <c r="V8" s="465"/>
      <c r="W8" s="465"/>
      <c r="X8" s="465"/>
      <c r="Y8" s="465" t="s">
        <v>190</v>
      </c>
      <c r="Z8" s="465"/>
      <c r="AA8" s="465"/>
      <c r="AB8" s="465"/>
      <c r="AC8" s="465"/>
      <c r="AD8" s="465"/>
      <c r="AE8" s="465"/>
      <c r="AF8" s="465"/>
      <c r="AG8" s="465" t="s">
        <v>190</v>
      </c>
      <c r="AH8" s="465"/>
      <c r="AI8" s="465"/>
      <c r="AJ8" s="465"/>
      <c r="AK8" s="465"/>
      <c r="AL8" s="465"/>
      <c r="AM8" s="465"/>
      <c r="AN8" s="465"/>
    </row>
    <row r="9" spans="1:40" ht="18.95" customHeight="1" x14ac:dyDescent="0.2">
      <c r="C9" s="148"/>
      <c r="K9" s="148"/>
      <c r="S9" s="148"/>
      <c r="AA9" s="148"/>
      <c r="AI9" s="148"/>
    </row>
    <row r="10" spans="1:40" ht="18.95" customHeight="1" x14ac:dyDescent="0.2">
      <c r="B10" s="466" t="s">
        <v>174</v>
      </c>
      <c r="C10" s="467"/>
      <c r="D10" s="412" t="s">
        <v>179</v>
      </c>
      <c r="E10" s="412"/>
      <c r="F10" s="412"/>
      <c r="G10" s="412"/>
      <c r="J10" s="466" t="s">
        <v>174</v>
      </c>
      <c r="K10" s="467"/>
      <c r="L10" s="412" t="s">
        <v>179</v>
      </c>
      <c r="M10" s="412"/>
      <c r="N10" s="412"/>
      <c r="O10" s="412"/>
      <c r="R10" s="466" t="s">
        <v>174</v>
      </c>
      <c r="S10" s="467"/>
      <c r="T10" s="412" t="s">
        <v>179</v>
      </c>
      <c r="U10" s="412"/>
      <c r="V10" s="412"/>
      <c r="W10" s="412"/>
      <c r="Z10" s="466" t="s">
        <v>174</v>
      </c>
      <c r="AA10" s="467"/>
      <c r="AB10" s="412" t="s">
        <v>179</v>
      </c>
      <c r="AC10" s="412"/>
      <c r="AD10" s="412"/>
      <c r="AE10" s="412"/>
      <c r="AH10" s="466" t="s">
        <v>174</v>
      </c>
      <c r="AI10" s="467"/>
      <c r="AJ10" s="412" t="s">
        <v>179</v>
      </c>
      <c r="AK10" s="412"/>
      <c r="AL10" s="412"/>
      <c r="AM10" s="412"/>
    </row>
    <row r="11" spans="1:40" ht="18.95" customHeight="1" x14ac:dyDescent="0.2">
      <c r="B11" s="468"/>
      <c r="C11" s="469"/>
      <c r="D11" s="412" t="s">
        <v>177</v>
      </c>
      <c r="E11" s="412"/>
      <c r="F11" s="412" t="s">
        <v>178</v>
      </c>
      <c r="G11" s="412"/>
      <c r="J11" s="468"/>
      <c r="K11" s="469"/>
      <c r="L11" s="412" t="s">
        <v>177</v>
      </c>
      <c r="M11" s="412"/>
      <c r="N11" s="412" t="s">
        <v>178</v>
      </c>
      <c r="O11" s="412"/>
      <c r="R11" s="468"/>
      <c r="S11" s="469"/>
      <c r="T11" s="412" t="s">
        <v>177</v>
      </c>
      <c r="U11" s="412"/>
      <c r="V11" s="412" t="s">
        <v>178</v>
      </c>
      <c r="W11" s="412"/>
      <c r="Z11" s="468"/>
      <c r="AA11" s="469"/>
      <c r="AB11" s="412" t="s">
        <v>177</v>
      </c>
      <c r="AC11" s="412"/>
      <c r="AD11" s="412" t="s">
        <v>178</v>
      </c>
      <c r="AE11" s="412"/>
      <c r="AH11" s="468"/>
      <c r="AI11" s="469"/>
      <c r="AJ11" s="412" t="s">
        <v>177</v>
      </c>
      <c r="AK11" s="412"/>
      <c r="AL11" s="412" t="s">
        <v>178</v>
      </c>
      <c r="AM11" s="412"/>
    </row>
    <row r="12" spans="1:40" ht="18.95" customHeight="1" x14ac:dyDescent="0.2">
      <c r="B12" s="470"/>
      <c r="C12" s="471"/>
      <c r="D12" s="147" t="s">
        <v>175</v>
      </c>
      <c r="E12" s="147" t="s">
        <v>176</v>
      </c>
      <c r="F12" s="147" t="s">
        <v>175</v>
      </c>
      <c r="G12" s="147" t="s">
        <v>176</v>
      </c>
      <c r="J12" s="470"/>
      <c r="K12" s="471"/>
      <c r="L12" s="147" t="s">
        <v>175</v>
      </c>
      <c r="M12" s="147" t="s">
        <v>176</v>
      </c>
      <c r="N12" s="147" t="s">
        <v>175</v>
      </c>
      <c r="O12" s="147" t="s">
        <v>176</v>
      </c>
      <c r="R12" s="470"/>
      <c r="S12" s="471"/>
      <c r="T12" s="147" t="s">
        <v>175</v>
      </c>
      <c r="U12" s="147" t="s">
        <v>176</v>
      </c>
      <c r="V12" s="147" t="s">
        <v>175</v>
      </c>
      <c r="W12" s="147" t="s">
        <v>176</v>
      </c>
      <c r="Z12" s="470"/>
      <c r="AA12" s="471"/>
      <c r="AB12" s="147" t="s">
        <v>175</v>
      </c>
      <c r="AC12" s="147" t="s">
        <v>176</v>
      </c>
      <c r="AD12" s="147" t="s">
        <v>175</v>
      </c>
      <c r="AE12" s="147" t="s">
        <v>176</v>
      </c>
      <c r="AH12" s="470"/>
      <c r="AI12" s="471"/>
      <c r="AJ12" s="147" t="s">
        <v>175</v>
      </c>
      <c r="AK12" s="147" t="s">
        <v>176</v>
      </c>
      <c r="AL12" s="147" t="s">
        <v>175</v>
      </c>
      <c r="AM12" s="147" t="s">
        <v>176</v>
      </c>
    </row>
    <row r="13" spans="1:40" ht="18.95" customHeight="1" x14ac:dyDescent="0.2">
      <c r="B13" s="492" t="s">
        <v>982</v>
      </c>
      <c r="C13" s="493"/>
      <c r="D13" s="248">
        <v>123</v>
      </c>
      <c r="E13" s="248">
        <f>62*E29/100</f>
        <v>62</v>
      </c>
      <c r="F13" s="248">
        <f>D13*100</f>
        <v>12300</v>
      </c>
      <c r="G13" s="248">
        <f>E13*100</f>
        <v>6200</v>
      </c>
      <c r="J13" s="455" t="s">
        <v>409</v>
      </c>
      <c r="K13" s="456"/>
      <c r="L13" s="41">
        <f>129*M18/65</f>
        <v>178.61538461538461</v>
      </c>
      <c r="M13" s="41">
        <f>58*M18/65</f>
        <v>80.307692307692307</v>
      </c>
      <c r="N13" s="41">
        <f t="shared" ref="N13:O16" si="0">L13*100</f>
        <v>17861.538461538461</v>
      </c>
      <c r="O13" s="41">
        <f t="shared" si="0"/>
        <v>8030.7692307692305</v>
      </c>
      <c r="R13" s="455" t="s">
        <v>397</v>
      </c>
      <c r="S13" s="456"/>
      <c r="T13" s="41">
        <v>167.4</v>
      </c>
      <c r="U13" s="41">
        <v>77.400000000000006</v>
      </c>
      <c r="V13" s="41">
        <f>T13*100</f>
        <v>16740</v>
      </c>
      <c r="W13" s="41">
        <f>U13*100</f>
        <v>7740.0000000000009</v>
      </c>
      <c r="Z13" s="455" t="s">
        <v>423</v>
      </c>
      <c r="AA13" s="456"/>
      <c r="AB13" s="41">
        <f>51*AC15/50</f>
        <v>91.8</v>
      </c>
      <c r="AC13" s="41">
        <f>50*AC15/50</f>
        <v>90</v>
      </c>
      <c r="AD13" s="41">
        <f>AB13*100</f>
        <v>9180</v>
      </c>
      <c r="AE13" s="41">
        <f>AC13*100</f>
        <v>9000</v>
      </c>
      <c r="AH13" s="455" t="s">
        <v>426</v>
      </c>
      <c r="AI13" s="456"/>
      <c r="AJ13" s="106">
        <f>110*AK25/100</f>
        <v>110</v>
      </c>
      <c r="AK13" s="106">
        <f>81*AK25/100</f>
        <v>81</v>
      </c>
      <c r="AL13" s="106">
        <f>AJ13*100</f>
        <v>11000</v>
      </c>
      <c r="AM13" s="106">
        <f>AK13*100</f>
        <v>8100</v>
      </c>
    </row>
    <row r="14" spans="1:40" ht="18.95" customHeight="1" x14ac:dyDescent="0.2">
      <c r="B14" s="455" t="s">
        <v>398</v>
      </c>
      <c r="C14" s="456"/>
      <c r="D14" s="106">
        <f>19*E29/100</f>
        <v>19</v>
      </c>
      <c r="E14" s="106">
        <f>19*E29/100</f>
        <v>19</v>
      </c>
      <c r="F14" s="106">
        <f t="shared" ref="F14:F26" si="1">D14*100</f>
        <v>1900</v>
      </c>
      <c r="G14" s="106">
        <f t="shared" ref="G14:G29" si="2">E14*100</f>
        <v>1900</v>
      </c>
      <c r="J14" s="455" t="s">
        <v>410</v>
      </c>
      <c r="K14" s="456"/>
      <c r="L14" s="41">
        <f>4*M18/65</f>
        <v>5.5384615384615383</v>
      </c>
      <c r="M14" s="41">
        <f>4*M18/65</f>
        <v>5.5384615384615383</v>
      </c>
      <c r="N14" s="41">
        <f t="shared" si="0"/>
        <v>553.84615384615381</v>
      </c>
      <c r="O14" s="41">
        <f t="shared" si="0"/>
        <v>553.84615384615381</v>
      </c>
      <c r="R14" s="455" t="s">
        <v>1008</v>
      </c>
      <c r="S14" s="456"/>
      <c r="T14" s="41">
        <v>21.4</v>
      </c>
      <c r="U14" s="41">
        <v>18</v>
      </c>
      <c r="V14" s="41">
        <f t="shared" ref="V14:V20" si="3">T14*100</f>
        <v>2140</v>
      </c>
      <c r="W14" s="41">
        <f t="shared" ref="W14:W20" si="4">U14*100</f>
        <v>1800</v>
      </c>
      <c r="Z14" s="455"/>
      <c r="AA14" s="456"/>
      <c r="AB14" s="41"/>
      <c r="AC14" s="41"/>
      <c r="AD14" s="41"/>
      <c r="AE14" s="41"/>
      <c r="AH14" s="455" t="s">
        <v>246</v>
      </c>
      <c r="AI14" s="456"/>
      <c r="AJ14" s="106">
        <f>2.66*AK25/100</f>
        <v>2.66</v>
      </c>
      <c r="AK14" s="106">
        <f>2*AK25/100</f>
        <v>2</v>
      </c>
      <c r="AL14" s="106">
        <f t="shared" ref="AL14:AL21" si="5">AJ14*100</f>
        <v>266</v>
      </c>
      <c r="AM14" s="106">
        <f t="shared" ref="AM14:AM22" si="6">AK14*100</f>
        <v>200</v>
      </c>
    </row>
    <row r="15" spans="1:40" ht="18.95" customHeight="1" x14ac:dyDescent="0.2">
      <c r="B15" s="492" t="s">
        <v>246</v>
      </c>
      <c r="C15" s="493"/>
      <c r="D15" s="248">
        <f>23.94*E29/100</f>
        <v>23.94</v>
      </c>
      <c r="E15" s="248">
        <f>18*E29/100</f>
        <v>18</v>
      </c>
      <c r="F15" s="248">
        <f t="shared" si="1"/>
        <v>2394</v>
      </c>
      <c r="G15" s="248">
        <f t="shared" si="2"/>
        <v>1800</v>
      </c>
      <c r="J15" s="455" t="s">
        <v>211</v>
      </c>
      <c r="K15" s="456"/>
      <c r="L15" s="41">
        <f>36*M18/65</f>
        <v>49.846153846153847</v>
      </c>
      <c r="M15" s="41">
        <f>30*M18/65</f>
        <v>41.53846153846154</v>
      </c>
      <c r="N15" s="41">
        <f t="shared" si="0"/>
        <v>4984.6153846153848</v>
      </c>
      <c r="O15" s="41">
        <f t="shared" si="0"/>
        <v>4153.8461538461543</v>
      </c>
      <c r="R15" s="455" t="s">
        <v>414</v>
      </c>
      <c r="S15" s="456"/>
      <c r="T15" s="41">
        <v>7.2</v>
      </c>
      <c r="U15" s="41">
        <v>7.2</v>
      </c>
      <c r="V15" s="41">
        <f t="shared" si="3"/>
        <v>720</v>
      </c>
      <c r="W15" s="41">
        <f t="shared" si="4"/>
        <v>720</v>
      </c>
      <c r="Z15" s="457" t="s">
        <v>180</v>
      </c>
      <c r="AA15" s="458"/>
      <c r="AB15" s="118"/>
      <c r="AC15" s="106">
        <f>мясо!B11</f>
        <v>90</v>
      </c>
      <c r="AD15" s="106"/>
      <c r="AE15" s="106">
        <f>AC15*100</f>
        <v>9000</v>
      </c>
      <c r="AH15" s="455" t="s">
        <v>211</v>
      </c>
      <c r="AI15" s="456"/>
      <c r="AJ15" s="106">
        <f>2.5*AK22/100</f>
        <v>1.25</v>
      </c>
      <c r="AK15" s="106">
        <f>2*AK25/100</f>
        <v>2</v>
      </c>
      <c r="AL15" s="106">
        <f t="shared" si="5"/>
        <v>125</v>
      </c>
      <c r="AM15" s="106">
        <f t="shared" si="6"/>
        <v>200</v>
      </c>
    </row>
    <row r="16" spans="1:40" ht="18.95" customHeight="1" x14ac:dyDescent="0.2">
      <c r="B16" s="494" t="s">
        <v>973</v>
      </c>
      <c r="C16" s="495"/>
      <c r="D16" s="248">
        <f>4*E29/100</f>
        <v>4</v>
      </c>
      <c r="E16" s="248">
        <f>3*E29/100</f>
        <v>3</v>
      </c>
      <c r="F16" s="248">
        <f t="shared" si="1"/>
        <v>400</v>
      </c>
      <c r="G16" s="248">
        <f t="shared" si="2"/>
        <v>300</v>
      </c>
      <c r="J16" s="455" t="s">
        <v>207</v>
      </c>
      <c r="K16" s="456"/>
      <c r="L16" s="41">
        <f>5*M18/65</f>
        <v>6.9230769230769234</v>
      </c>
      <c r="M16" s="41">
        <f>5*M18/65</f>
        <v>6.9230769230769234</v>
      </c>
      <c r="N16" s="41">
        <f t="shared" si="0"/>
        <v>692.30769230769238</v>
      </c>
      <c r="O16" s="41">
        <f t="shared" si="0"/>
        <v>692.30769230769238</v>
      </c>
      <c r="R16" s="455" t="s">
        <v>415</v>
      </c>
      <c r="S16" s="456"/>
      <c r="T16" s="41">
        <f>5*U22/50</f>
        <v>9</v>
      </c>
      <c r="U16" s="41">
        <f>5*U22/50</f>
        <v>9</v>
      </c>
      <c r="V16" s="41">
        <f t="shared" si="3"/>
        <v>900</v>
      </c>
      <c r="W16" s="41">
        <f t="shared" si="4"/>
        <v>900</v>
      </c>
      <c r="AH16" s="455" t="s">
        <v>427</v>
      </c>
      <c r="AI16" s="456"/>
      <c r="AJ16" s="106"/>
      <c r="AK16" s="106">
        <f>50*AK25/100</f>
        <v>50</v>
      </c>
      <c r="AL16" s="106"/>
      <c r="AM16" s="106">
        <f t="shared" si="6"/>
        <v>5000</v>
      </c>
    </row>
    <row r="17" spans="1:40" ht="18.95" customHeight="1" x14ac:dyDescent="0.2">
      <c r="B17" s="492" t="s">
        <v>974</v>
      </c>
      <c r="C17" s="493"/>
      <c r="D17" s="248">
        <f>1.19*E29/100</f>
        <v>1.19</v>
      </c>
      <c r="E17" s="248">
        <f>1*E29/100</f>
        <v>1</v>
      </c>
      <c r="F17" s="248">
        <f t="shared" si="1"/>
        <v>119</v>
      </c>
      <c r="G17" s="248">
        <f t="shared" si="2"/>
        <v>100</v>
      </c>
      <c r="J17" s="455" t="s">
        <v>411</v>
      </c>
      <c r="K17" s="456"/>
      <c r="L17" s="41"/>
      <c r="M17" s="41">
        <f>50*M18/65</f>
        <v>69.230769230769226</v>
      </c>
      <c r="N17" s="41"/>
      <c r="O17" s="41">
        <f>M17*100</f>
        <v>6923.0769230769229</v>
      </c>
      <c r="R17" s="455" t="s">
        <v>1009</v>
      </c>
      <c r="S17" s="456"/>
      <c r="T17" s="263"/>
      <c r="U17" s="41">
        <v>6.48</v>
      </c>
      <c r="V17" s="41" t="s">
        <v>1010</v>
      </c>
      <c r="W17" s="41">
        <f t="shared" si="4"/>
        <v>648</v>
      </c>
      <c r="Y17" s="459" t="s">
        <v>181</v>
      </c>
      <c r="Z17" s="459"/>
      <c r="AA17" s="459"/>
      <c r="AB17" s="459"/>
      <c r="AC17" s="459"/>
      <c r="AD17" s="459"/>
      <c r="AE17" s="459"/>
      <c r="AF17" s="459"/>
      <c r="AH17" s="455" t="s">
        <v>246</v>
      </c>
      <c r="AI17" s="456"/>
      <c r="AJ17" s="106">
        <f>13.3*AK25/100</f>
        <v>13.3</v>
      </c>
      <c r="AK17" s="106">
        <f>10*AK25/100</f>
        <v>10</v>
      </c>
      <c r="AL17" s="106">
        <f t="shared" si="5"/>
        <v>1330</v>
      </c>
      <c r="AM17" s="106">
        <f t="shared" si="6"/>
        <v>1000</v>
      </c>
    </row>
    <row r="18" spans="1:40" ht="18.95" customHeight="1" x14ac:dyDescent="0.2">
      <c r="B18" s="492" t="s">
        <v>211</v>
      </c>
      <c r="C18" s="493"/>
      <c r="D18" s="248">
        <f>9.52*E29/100</f>
        <v>9.52</v>
      </c>
      <c r="E18" s="248">
        <f>8*E29/100</f>
        <v>8</v>
      </c>
      <c r="F18" s="248">
        <f t="shared" si="1"/>
        <v>952</v>
      </c>
      <c r="G18" s="248">
        <f t="shared" si="2"/>
        <v>800</v>
      </c>
      <c r="J18" s="457" t="s">
        <v>180</v>
      </c>
      <c r="K18" s="458"/>
      <c r="L18" s="118"/>
      <c r="M18" s="106">
        <f>мясо!B7</f>
        <v>90</v>
      </c>
      <c r="N18" s="106"/>
      <c r="O18" s="106">
        <f>M18*100</f>
        <v>9000</v>
      </c>
      <c r="R18" s="455" t="s">
        <v>207</v>
      </c>
      <c r="S18" s="456"/>
      <c r="T18" s="41">
        <f>5*U22/50</f>
        <v>9</v>
      </c>
      <c r="U18" s="41">
        <f>5*U22/50</f>
        <v>9</v>
      </c>
      <c r="V18" s="41">
        <f t="shared" si="3"/>
        <v>900</v>
      </c>
      <c r="W18" s="41">
        <f t="shared" si="4"/>
        <v>900</v>
      </c>
      <c r="Y18" s="147" t="s">
        <v>182</v>
      </c>
      <c r="Z18" s="147" t="s">
        <v>106</v>
      </c>
      <c r="AA18" s="115" t="s">
        <v>107</v>
      </c>
      <c r="AB18" s="116" t="s">
        <v>187</v>
      </c>
      <c r="AC18" s="147" t="s">
        <v>183</v>
      </c>
      <c r="AD18" s="147" t="s">
        <v>184</v>
      </c>
      <c r="AE18" s="147" t="s">
        <v>185</v>
      </c>
      <c r="AF18" s="147" t="s">
        <v>186</v>
      </c>
      <c r="AH18" s="455" t="s">
        <v>207</v>
      </c>
      <c r="AI18" s="456"/>
      <c r="AJ18" s="106">
        <f>5*AK25/100</f>
        <v>5</v>
      </c>
      <c r="AK18" s="106">
        <f>5*AK25/100</f>
        <v>5</v>
      </c>
      <c r="AL18" s="106">
        <f t="shared" si="5"/>
        <v>500</v>
      </c>
      <c r="AM18" s="106">
        <f t="shared" si="6"/>
        <v>500</v>
      </c>
    </row>
    <row r="19" spans="1:40" ht="18.95" customHeight="1" x14ac:dyDescent="0.2">
      <c r="B19" s="492" t="s">
        <v>975</v>
      </c>
      <c r="C19" s="493"/>
      <c r="D19" s="248">
        <v>4</v>
      </c>
      <c r="E19" s="248">
        <v>4</v>
      </c>
      <c r="F19" s="248">
        <f t="shared" si="1"/>
        <v>400</v>
      </c>
      <c r="G19" s="248">
        <f t="shared" si="2"/>
        <v>400</v>
      </c>
      <c r="R19" s="455" t="s">
        <v>417</v>
      </c>
      <c r="S19" s="456"/>
      <c r="T19" s="41"/>
      <c r="U19" s="41">
        <f>50*U22/50</f>
        <v>90</v>
      </c>
      <c r="V19" s="41"/>
      <c r="W19" s="41">
        <f t="shared" si="4"/>
        <v>9000</v>
      </c>
      <c r="Y19" s="41">
        <f>мясо!E11</f>
        <v>12.1</v>
      </c>
      <c r="Z19" s="41">
        <f>мясо!F11</f>
        <v>18.16</v>
      </c>
      <c r="AA19" s="41">
        <f>мясо!G11</f>
        <v>16.5</v>
      </c>
      <c r="AB19" s="41">
        <f>мясо!H11</f>
        <v>259</v>
      </c>
      <c r="AC19" s="41">
        <f>мясо!M11</f>
        <v>30.272727272727273</v>
      </c>
      <c r="AD19" s="41">
        <f>мясо!O11</f>
        <v>16.363636363636363</v>
      </c>
      <c r="AE19" s="41">
        <f>мясо!P11</f>
        <v>1.4727272727272727</v>
      </c>
      <c r="AF19" s="41">
        <f>мясо!J11</f>
        <v>0</v>
      </c>
      <c r="AH19" s="455" t="s">
        <v>211</v>
      </c>
      <c r="AI19" s="456"/>
      <c r="AJ19" s="106">
        <f>12*AK25/100</f>
        <v>12</v>
      </c>
      <c r="AK19" s="106">
        <f>10*AK25/100</f>
        <v>10</v>
      </c>
      <c r="AL19" s="106">
        <f t="shared" si="5"/>
        <v>1200</v>
      </c>
      <c r="AM19" s="106">
        <f t="shared" si="6"/>
        <v>1000</v>
      </c>
    </row>
    <row r="20" spans="1:40" ht="18.95" customHeight="1" x14ac:dyDescent="0.2">
      <c r="B20" s="455" t="s">
        <v>207</v>
      </c>
      <c r="C20" s="456"/>
      <c r="D20" s="106">
        <f>5*E29/100</f>
        <v>5</v>
      </c>
      <c r="E20" s="106">
        <f>5*E29/100</f>
        <v>5</v>
      </c>
      <c r="F20" s="106">
        <f t="shared" si="1"/>
        <v>500</v>
      </c>
      <c r="G20" s="106">
        <f t="shared" si="2"/>
        <v>500</v>
      </c>
      <c r="I20" s="459" t="s">
        <v>181</v>
      </c>
      <c r="J20" s="459"/>
      <c r="K20" s="459"/>
      <c r="L20" s="459"/>
      <c r="M20" s="459"/>
      <c r="N20" s="459"/>
      <c r="O20" s="459"/>
      <c r="P20" s="459"/>
      <c r="R20" s="492" t="s">
        <v>191</v>
      </c>
      <c r="S20" s="493"/>
      <c r="T20" s="110">
        <f>10</f>
        <v>10</v>
      </c>
      <c r="U20" s="110">
        <f>10</f>
        <v>10</v>
      </c>
      <c r="V20" s="110">
        <f t="shared" si="3"/>
        <v>1000</v>
      </c>
      <c r="W20" s="110">
        <f t="shared" si="4"/>
        <v>1000</v>
      </c>
      <c r="AH20" s="455" t="s">
        <v>410</v>
      </c>
      <c r="AI20" s="456"/>
      <c r="AJ20" s="106">
        <f>2*AK25/100</f>
        <v>2</v>
      </c>
      <c r="AK20" s="106">
        <f>2*AK25/100</f>
        <v>2</v>
      </c>
      <c r="AL20" s="106">
        <f t="shared" si="5"/>
        <v>200</v>
      </c>
      <c r="AM20" s="106">
        <f t="shared" si="6"/>
        <v>200</v>
      </c>
    </row>
    <row r="21" spans="1:40" ht="18.95" customHeight="1" x14ac:dyDescent="0.2">
      <c r="B21" s="488" t="s">
        <v>400</v>
      </c>
      <c r="C21" s="489"/>
      <c r="D21" s="106">
        <f>2.5*E29/100</f>
        <v>2.5</v>
      </c>
      <c r="E21" s="106">
        <f>2.5*E29/100</f>
        <v>2.5</v>
      </c>
      <c r="F21" s="106">
        <f t="shared" si="1"/>
        <v>250</v>
      </c>
      <c r="G21" s="106">
        <f t="shared" si="2"/>
        <v>250</v>
      </c>
      <c r="I21" s="147" t="s">
        <v>182</v>
      </c>
      <c r="J21" s="147" t="s">
        <v>106</v>
      </c>
      <c r="K21" s="115" t="s">
        <v>107</v>
      </c>
      <c r="L21" s="116" t="s">
        <v>187</v>
      </c>
      <c r="M21" s="147" t="s">
        <v>183</v>
      </c>
      <c r="N21" s="147" t="s">
        <v>184</v>
      </c>
      <c r="O21" s="147" t="s">
        <v>185</v>
      </c>
      <c r="P21" s="147" t="s">
        <v>186</v>
      </c>
      <c r="R21" s="492" t="s">
        <v>476</v>
      </c>
      <c r="S21" s="493"/>
      <c r="T21" s="110">
        <f>3</f>
        <v>3</v>
      </c>
      <c r="U21" s="110">
        <f>3</f>
        <v>3</v>
      </c>
      <c r="V21" s="110">
        <f>T21*100</f>
        <v>300</v>
      </c>
      <c r="W21" s="110">
        <f>U21*100</f>
        <v>300</v>
      </c>
      <c r="Y21" s="462" t="s">
        <v>424</v>
      </c>
      <c r="Z21" s="462"/>
      <c r="AA21" s="462"/>
      <c r="AB21" s="462"/>
      <c r="AC21" s="462"/>
      <c r="AD21" s="462"/>
      <c r="AE21" s="462"/>
      <c r="AF21" s="462"/>
      <c r="AH21" s="488" t="s">
        <v>983</v>
      </c>
      <c r="AI21" s="489"/>
      <c r="AJ21" s="106">
        <v>4</v>
      </c>
      <c r="AK21" s="106">
        <v>4</v>
      </c>
      <c r="AL21" s="106">
        <f t="shared" si="5"/>
        <v>400</v>
      </c>
      <c r="AM21" s="106">
        <f t="shared" si="6"/>
        <v>400</v>
      </c>
    </row>
    <row r="22" spans="1:40" ht="18.95" customHeight="1" x14ac:dyDescent="0.2">
      <c r="B22" s="455" t="s">
        <v>297</v>
      </c>
      <c r="C22" s="456"/>
      <c r="D22" s="106">
        <f>2*E29/100</f>
        <v>2</v>
      </c>
      <c r="E22" s="106">
        <f>2*E29/100</f>
        <v>2</v>
      </c>
      <c r="F22" s="106">
        <f t="shared" si="1"/>
        <v>200</v>
      </c>
      <c r="G22" s="106">
        <f t="shared" si="2"/>
        <v>200</v>
      </c>
      <c r="I22" s="41">
        <f>мясо!E7</f>
        <v>13.389230769230769</v>
      </c>
      <c r="J22" s="41">
        <f>мясо!F7</f>
        <v>8.1692307692307686</v>
      </c>
      <c r="K22" s="41">
        <f>мясо!G7</f>
        <v>9.5123076923076919</v>
      </c>
      <c r="L22" s="41">
        <f>мясо!H7</f>
        <v>164.76923076923077</v>
      </c>
      <c r="M22" s="41">
        <f>мясо!M7</f>
        <v>42.909230769230767</v>
      </c>
      <c r="N22" s="41">
        <f>мясо!O7</f>
        <v>25.767692307692304</v>
      </c>
      <c r="O22" s="41">
        <f>мясо!P7</f>
        <v>0.9276923076923077</v>
      </c>
      <c r="P22" s="41">
        <f>мясо!J7</f>
        <v>2.7</v>
      </c>
      <c r="R22" s="457" t="s">
        <v>180</v>
      </c>
      <c r="S22" s="458"/>
      <c r="T22" s="118"/>
      <c r="U22" s="106">
        <f>мясо!B9</f>
        <v>90</v>
      </c>
      <c r="V22" s="106"/>
      <c r="W22" s="207">
        <f>U22*100</f>
        <v>9000</v>
      </c>
      <c r="Y22" s="462"/>
      <c r="Z22" s="462"/>
      <c r="AA22" s="462"/>
      <c r="AB22" s="462"/>
      <c r="AC22" s="462"/>
      <c r="AD22" s="462"/>
      <c r="AE22" s="462"/>
      <c r="AF22" s="462"/>
      <c r="AH22" s="455" t="s">
        <v>428</v>
      </c>
      <c r="AI22" s="456"/>
      <c r="AJ22" s="106"/>
      <c r="AK22" s="106">
        <f>50*AK25/100</f>
        <v>50</v>
      </c>
      <c r="AL22" s="106"/>
      <c r="AM22" s="106">
        <f t="shared" si="6"/>
        <v>5000</v>
      </c>
    </row>
    <row r="23" spans="1:40" ht="18.95" customHeight="1" x14ac:dyDescent="0.2">
      <c r="B23" s="455" t="s">
        <v>401</v>
      </c>
      <c r="C23" s="456"/>
      <c r="D23" s="106">
        <f>0.01*E29/100</f>
        <v>0.01</v>
      </c>
      <c r="E23" s="106">
        <f>0.01*E29/100</f>
        <v>0.01</v>
      </c>
      <c r="F23" s="106">
        <f t="shared" si="1"/>
        <v>1</v>
      </c>
      <c r="G23" s="106">
        <f t="shared" si="2"/>
        <v>1</v>
      </c>
      <c r="Y23" s="462"/>
      <c r="Z23" s="462"/>
      <c r="AA23" s="462"/>
      <c r="AB23" s="462"/>
      <c r="AC23" s="462"/>
      <c r="AD23" s="462"/>
      <c r="AE23" s="462"/>
      <c r="AF23" s="462"/>
      <c r="AH23" s="455" t="s">
        <v>476</v>
      </c>
      <c r="AI23" s="456"/>
      <c r="AJ23" s="106">
        <v>4</v>
      </c>
      <c r="AK23" s="106">
        <v>4</v>
      </c>
      <c r="AL23" s="106">
        <f>AK23*100</f>
        <v>400</v>
      </c>
      <c r="AM23" s="106">
        <f>AK23*100</f>
        <v>400</v>
      </c>
    </row>
    <row r="24" spans="1:40" ht="18.95" customHeight="1" x14ac:dyDescent="0.2">
      <c r="B24" s="455" t="s">
        <v>402</v>
      </c>
      <c r="C24" s="456"/>
      <c r="D24" s="106">
        <f>0.01*E29/100</f>
        <v>0.01</v>
      </c>
      <c r="E24" s="106">
        <f>0.01*E29/100</f>
        <v>0.01</v>
      </c>
      <c r="F24" s="106">
        <f t="shared" si="1"/>
        <v>1</v>
      </c>
      <c r="G24" s="106">
        <f t="shared" si="2"/>
        <v>1</v>
      </c>
      <c r="I24" s="462" t="s">
        <v>412</v>
      </c>
      <c r="J24" s="462"/>
      <c r="K24" s="462"/>
      <c r="L24" s="462"/>
      <c r="M24" s="462"/>
      <c r="N24" s="462"/>
      <c r="O24" s="462"/>
      <c r="P24" s="462"/>
      <c r="Q24" s="459" t="s">
        <v>181</v>
      </c>
      <c r="R24" s="459"/>
      <c r="S24" s="459"/>
      <c r="T24" s="459"/>
      <c r="U24" s="459"/>
      <c r="V24" s="459"/>
      <c r="W24" s="459"/>
      <c r="X24" s="459"/>
      <c r="Y24" s="462"/>
      <c r="Z24" s="462"/>
      <c r="AA24" s="462"/>
      <c r="AB24" s="462"/>
      <c r="AC24" s="462"/>
      <c r="AD24" s="462"/>
      <c r="AE24" s="462"/>
      <c r="AF24" s="462"/>
      <c r="AH24" s="455" t="s">
        <v>640</v>
      </c>
      <c r="AI24" s="456"/>
      <c r="AJ24" s="106">
        <v>0.02</v>
      </c>
      <c r="AK24" s="106">
        <v>0.02</v>
      </c>
      <c r="AL24" s="106">
        <f>AK24*100</f>
        <v>2</v>
      </c>
      <c r="AM24" s="106">
        <f>AK24*100</f>
        <v>2</v>
      </c>
    </row>
    <row r="25" spans="1:40" ht="18.95" customHeight="1" x14ac:dyDescent="0.2">
      <c r="B25" s="455" t="s">
        <v>403</v>
      </c>
      <c r="C25" s="456"/>
      <c r="D25" s="106">
        <f>0.01*E29/100</f>
        <v>0.01</v>
      </c>
      <c r="E25" s="106">
        <f>0.01*E29/100</f>
        <v>0.01</v>
      </c>
      <c r="F25" s="106">
        <f t="shared" si="1"/>
        <v>1</v>
      </c>
      <c r="G25" s="106">
        <f t="shared" si="2"/>
        <v>1</v>
      </c>
      <c r="I25" s="462"/>
      <c r="J25" s="462"/>
      <c r="K25" s="462"/>
      <c r="L25" s="462"/>
      <c r="M25" s="462"/>
      <c r="N25" s="462"/>
      <c r="O25" s="462"/>
      <c r="P25" s="462"/>
      <c r="Q25" s="147" t="s">
        <v>182</v>
      </c>
      <c r="R25" s="147" t="s">
        <v>106</v>
      </c>
      <c r="S25" s="115" t="s">
        <v>107</v>
      </c>
      <c r="T25" s="116" t="s">
        <v>187</v>
      </c>
      <c r="U25" s="147" t="s">
        <v>183</v>
      </c>
      <c r="V25" s="147" t="s">
        <v>184</v>
      </c>
      <c r="W25" s="147" t="s">
        <v>185</v>
      </c>
      <c r="X25" s="147" t="s">
        <v>186</v>
      </c>
      <c r="AH25" s="457" t="s">
        <v>180</v>
      </c>
      <c r="AI25" s="458"/>
      <c r="AJ25" s="118"/>
      <c r="AK25" s="106">
        <f>мясо!B13</f>
        <v>100</v>
      </c>
      <c r="AL25" s="106"/>
      <c r="AM25" s="106">
        <f>AK25*100</f>
        <v>10000</v>
      </c>
    </row>
    <row r="26" spans="1:40" ht="18.95" customHeight="1" x14ac:dyDescent="0.2">
      <c r="B26" s="492" t="s">
        <v>476</v>
      </c>
      <c r="C26" s="493"/>
      <c r="D26" s="248">
        <v>3</v>
      </c>
      <c r="E26" s="248">
        <v>3</v>
      </c>
      <c r="F26" s="248">
        <f t="shared" si="1"/>
        <v>300</v>
      </c>
      <c r="G26" s="248">
        <f t="shared" si="2"/>
        <v>300</v>
      </c>
      <c r="I26" s="234"/>
      <c r="J26" s="234"/>
      <c r="K26" s="234"/>
      <c r="L26" s="234"/>
      <c r="M26" s="234"/>
      <c r="N26" s="234"/>
      <c r="O26" s="234"/>
      <c r="P26" s="234"/>
      <c r="Q26" s="41">
        <f>мясо!E9</f>
        <v>7.74</v>
      </c>
      <c r="R26" s="41">
        <f>мясо!F9</f>
        <v>6.2999999999999989</v>
      </c>
      <c r="S26" s="41">
        <f>мясо!G9</f>
        <v>10.811249999999999</v>
      </c>
      <c r="T26" s="41">
        <f>мясо!H9</f>
        <v>130.5</v>
      </c>
      <c r="U26" s="41">
        <f>мясо!M9</f>
        <v>49.646250000000002</v>
      </c>
      <c r="V26" s="41">
        <f>мясо!O9</f>
        <v>25.121249999999996</v>
      </c>
      <c r="W26" s="41">
        <f>мясо!P9</f>
        <v>0.88875000000000015</v>
      </c>
      <c r="X26" s="41">
        <f>мясо!J9</f>
        <v>0.38250000000000001</v>
      </c>
      <c r="AG26" s="36"/>
      <c r="AH26" s="36"/>
      <c r="AI26" s="36"/>
      <c r="AJ26" s="36"/>
      <c r="AK26" s="36"/>
      <c r="AL26" s="36"/>
      <c r="AM26" s="36"/>
      <c r="AN26" s="36"/>
    </row>
    <row r="27" spans="1:40" ht="18.95" customHeight="1" x14ac:dyDescent="0.2">
      <c r="B27" s="455" t="s">
        <v>404</v>
      </c>
      <c r="C27" s="456"/>
      <c r="D27" s="106"/>
      <c r="E27" s="106">
        <f>50*E29/100</f>
        <v>50</v>
      </c>
      <c r="F27" s="106"/>
      <c r="G27" s="106">
        <f t="shared" si="2"/>
        <v>5000</v>
      </c>
      <c r="I27" s="119"/>
      <c r="J27" s="119"/>
      <c r="K27" s="119"/>
      <c r="L27" s="119"/>
      <c r="M27" s="119"/>
      <c r="N27" s="119"/>
      <c r="O27" s="119"/>
      <c r="P27" s="119"/>
      <c r="Y27" s="454" t="s">
        <v>232</v>
      </c>
      <c r="Z27" s="454"/>
      <c r="AA27" s="454"/>
      <c r="AG27" s="459" t="s">
        <v>181</v>
      </c>
      <c r="AH27" s="459"/>
      <c r="AI27" s="459"/>
      <c r="AJ27" s="459"/>
      <c r="AK27" s="459"/>
      <c r="AL27" s="459"/>
      <c r="AM27" s="459"/>
      <c r="AN27" s="459"/>
    </row>
    <row r="28" spans="1:40" ht="18.95" customHeight="1" x14ac:dyDescent="0.2">
      <c r="B28" s="463" t="s">
        <v>405</v>
      </c>
      <c r="C28" s="464"/>
      <c r="D28" s="106"/>
      <c r="E28" s="106">
        <f>100*E29/100</f>
        <v>100</v>
      </c>
      <c r="F28" s="106"/>
      <c r="G28" s="106">
        <f t="shared" si="2"/>
        <v>10000</v>
      </c>
      <c r="I28" s="454" t="s">
        <v>232</v>
      </c>
      <c r="J28" s="454"/>
      <c r="K28" s="454"/>
      <c r="Q28" s="487" t="s">
        <v>418</v>
      </c>
      <c r="R28" s="487"/>
      <c r="S28" s="487"/>
      <c r="T28" s="487"/>
      <c r="U28" s="487"/>
      <c r="V28" s="487"/>
      <c r="W28" s="487"/>
      <c r="X28" s="487"/>
      <c r="AG28" s="228" t="s">
        <v>182</v>
      </c>
      <c r="AH28" s="228" t="s">
        <v>106</v>
      </c>
      <c r="AI28" s="229" t="s">
        <v>107</v>
      </c>
      <c r="AJ28" s="230" t="s">
        <v>187</v>
      </c>
      <c r="AK28" s="228" t="s">
        <v>183</v>
      </c>
      <c r="AL28" s="228" t="s">
        <v>184</v>
      </c>
      <c r="AM28" s="228" t="s">
        <v>185</v>
      </c>
      <c r="AN28" s="228" t="s">
        <v>186</v>
      </c>
    </row>
    <row r="29" spans="1:40" ht="18.95" customHeight="1" x14ac:dyDescent="0.2">
      <c r="B29" s="457" t="s">
        <v>180</v>
      </c>
      <c r="C29" s="458"/>
      <c r="D29" s="118"/>
      <c r="E29" s="248">
        <f>мясо!B5</f>
        <v>100</v>
      </c>
      <c r="F29" s="106"/>
      <c r="G29" s="106">
        <f t="shared" si="2"/>
        <v>10000</v>
      </c>
      <c r="Q29" s="487"/>
      <c r="R29" s="487"/>
      <c r="S29" s="487"/>
      <c r="T29" s="487"/>
      <c r="U29" s="487"/>
      <c r="V29" s="487"/>
      <c r="W29" s="487"/>
      <c r="X29" s="487"/>
      <c r="AG29" s="41">
        <f>мясо!E13</f>
        <v>13.36</v>
      </c>
      <c r="AH29" s="41">
        <f>мясо!F13</f>
        <v>14.08</v>
      </c>
      <c r="AI29" s="41">
        <f>мясо!G13</f>
        <v>3.27</v>
      </c>
      <c r="AJ29" s="41">
        <f>мясо!H13</f>
        <v>164</v>
      </c>
      <c r="AK29" s="41">
        <f>мясо!M13</f>
        <v>23.6</v>
      </c>
      <c r="AL29" s="41">
        <f>мясо!O13</f>
        <v>20.27</v>
      </c>
      <c r="AM29" s="41">
        <f>мясо!P13</f>
        <v>2</v>
      </c>
      <c r="AN29" s="41">
        <f>мясо!J13</f>
        <v>1.2</v>
      </c>
    </row>
    <row r="30" spans="1:40" ht="18.95" customHeight="1" x14ac:dyDescent="0.2">
      <c r="Q30" s="487"/>
      <c r="R30" s="487"/>
      <c r="S30" s="487"/>
      <c r="T30" s="487"/>
      <c r="U30" s="487"/>
      <c r="V30" s="487"/>
      <c r="W30" s="487"/>
      <c r="X30" s="487"/>
    </row>
    <row r="31" spans="1:40" ht="18.95" customHeight="1" x14ac:dyDescent="0.2">
      <c r="A31" s="459" t="s">
        <v>181</v>
      </c>
      <c r="B31" s="459"/>
      <c r="C31" s="459"/>
      <c r="D31" s="459"/>
      <c r="E31" s="459"/>
      <c r="F31" s="459"/>
      <c r="G31" s="459"/>
      <c r="H31" s="459"/>
      <c r="Q31" s="487"/>
      <c r="R31" s="487"/>
      <c r="S31" s="487"/>
      <c r="T31" s="487"/>
      <c r="U31" s="487"/>
      <c r="V31" s="487"/>
      <c r="W31" s="487"/>
      <c r="X31" s="487"/>
      <c r="AG31" s="462" t="s">
        <v>429</v>
      </c>
      <c r="AH31" s="462"/>
      <c r="AI31" s="462"/>
      <c r="AJ31" s="462"/>
      <c r="AK31" s="462"/>
      <c r="AL31" s="462"/>
      <c r="AM31" s="462"/>
      <c r="AN31" s="462"/>
    </row>
    <row r="32" spans="1:40" ht="18.95" customHeight="1" x14ac:dyDescent="0.2">
      <c r="A32" s="147" t="s">
        <v>182</v>
      </c>
      <c r="B32" s="147" t="s">
        <v>106</v>
      </c>
      <c r="C32" s="115" t="s">
        <v>107</v>
      </c>
      <c r="D32" s="116" t="s">
        <v>187</v>
      </c>
      <c r="E32" s="147" t="s">
        <v>183</v>
      </c>
      <c r="F32" s="147" t="s">
        <v>184</v>
      </c>
      <c r="G32" s="147" t="s">
        <v>185</v>
      </c>
      <c r="H32" s="147" t="s">
        <v>186</v>
      </c>
      <c r="Q32" s="487"/>
      <c r="R32" s="487"/>
      <c r="S32" s="487"/>
      <c r="T32" s="487"/>
      <c r="U32" s="487"/>
      <c r="V32" s="487"/>
      <c r="W32" s="487"/>
      <c r="X32" s="487"/>
      <c r="AG32" s="462"/>
      <c r="AH32" s="462"/>
      <c r="AI32" s="462"/>
      <c r="AJ32" s="462"/>
      <c r="AK32" s="462"/>
      <c r="AL32" s="462"/>
      <c r="AM32" s="462"/>
      <c r="AN32" s="462"/>
    </row>
    <row r="33" spans="1:40" ht="18.95" customHeight="1" x14ac:dyDescent="0.2">
      <c r="A33" s="41">
        <f>мясо!E5</f>
        <v>9.75</v>
      </c>
      <c r="B33" s="41">
        <f>мясо!F5</f>
        <v>4.95</v>
      </c>
      <c r="C33" s="41">
        <f>мясо!G5</f>
        <v>3.8</v>
      </c>
      <c r="D33" s="41">
        <f>мясо!H5</f>
        <v>105</v>
      </c>
      <c r="E33" s="41">
        <f>мясо!M5</f>
        <v>39.07</v>
      </c>
      <c r="F33" s="41">
        <f>мясо!O5</f>
        <v>48.53</v>
      </c>
      <c r="G33" s="41">
        <f>мясо!P5</f>
        <v>0.85</v>
      </c>
      <c r="H33" s="41">
        <f>мясо!J5</f>
        <v>3.73</v>
      </c>
      <c r="Q33" s="119"/>
      <c r="R33" s="119"/>
      <c r="S33" s="119"/>
      <c r="T33" s="119"/>
      <c r="U33" s="119"/>
      <c r="V33" s="119"/>
      <c r="W33" s="119"/>
      <c r="X33" s="119"/>
      <c r="AG33" s="462"/>
      <c r="AH33" s="462"/>
      <c r="AI33" s="462"/>
      <c r="AJ33" s="462"/>
      <c r="AK33" s="462"/>
      <c r="AL33" s="462"/>
      <c r="AM33" s="462"/>
      <c r="AN33" s="462"/>
    </row>
    <row r="34" spans="1:40" ht="18.95" customHeight="1" x14ac:dyDescent="0.2">
      <c r="Q34" s="454" t="s">
        <v>232</v>
      </c>
      <c r="R34" s="454"/>
      <c r="S34" s="454"/>
      <c r="AG34" s="462"/>
      <c r="AH34" s="462"/>
      <c r="AI34" s="462"/>
      <c r="AJ34" s="462"/>
      <c r="AK34" s="462"/>
      <c r="AL34" s="462"/>
      <c r="AM34" s="462"/>
      <c r="AN34" s="462"/>
    </row>
    <row r="35" spans="1:40" ht="18.95" customHeight="1" x14ac:dyDescent="0.2">
      <c r="A35" s="462" t="s">
        <v>406</v>
      </c>
      <c r="B35" s="462"/>
      <c r="C35" s="462"/>
      <c r="D35" s="462"/>
      <c r="E35" s="462"/>
      <c r="F35" s="462"/>
      <c r="G35" s="462"/>
      <c r="H35" s="462"/>
      <c r="AG35" s="142"/>
      <c r="AH35" s="142"/>
      <c r="AI35" s="142"/>
      <c r="AJ35" s="142"/>
      <c r="AK35" s="142"/>
      <c r="AL35" s="142"/>
      <c r="AM35" s="142"/>
      <c r="AN35" s="142"/>
    </row>
    <row r="36" spans="1:40" ht="18.95" customHeight="1" x14ac:dyDescent="0.2">
      <c r="A36" s="462"/>
      <c r="B36" s="462"/>
      <c r="C36" s="462"/>
      <c r="D36" s="462"/>
      <c r="E36" s="462"/>
      <c r="F36" s="462"/>
      <c r="G36" s="462"/>
      <c r="H36" s="462"/>
      <c r="AG36" s="454" t="s">
        <v>232</v>
      </c>
      <c r="AH36" s="454"/>
      <c r="AI36" s="454"/>
      <c r="AJ36" s="142"/>
      <c r="AK36" s="142"/>
      <c r="AL36" s="142"/>
      <c r="AM36" s="142"/>
      <c r="AN36" s="142"/>
    </row>
    <row r="37" spans="1:40" ht="18.95" customHeight="1" x14ac:dyDescent="0.2">
      <c r="A37" s="462"/>
      <c r="B37" s="462"/>
      <c r="C37" s="462"/>
      <c r="D37" s="462"/>
      <c r="E37" s="462"/>
      <c r="F37" s="462"/>
      <c r="G37" s="462"/>
      <c r="H37" s="462"/>
      <c r="AG37" s="125"/>
    </row>
    <row r="38" spans="1:40" ht="18.95" customHeight="1" x14ac:dyDescent="0.2">
      <c r="A38" s="462"/>
      <c r="B38" s="462"/>
      <c r="C38" s="462"/>
      <c r="D38" s="462"/>
      <c r="E38" s="462"/>
      <c r="F38" s="462"/>
      <c r="G38" s="462"/>
      <c r="H38" s="462"/>
      <c r="AG38" s="125"/>
    </row>
    <row r="39" spans="1:40" ht="18.95" customHeight="1" x14ac:dyDescent="0.2">
      <c r="AG39" s="125"/>
    </row>
    <row r="40" spans="1:40" ht="18.95" customHeight="1" x14ac:dyDescent="0.2">
      <c r="A40" s="454" t="s">
        <v>232</v>
      </c>
      <c r="B40" s="454"/>
      <c r="C40" s="454"/>
    </row>
    <row r="41" spans="1:40" ht="18.95" customHeight="1" x14ac:dyDescent="0.2"/>
    <row r="42" spans="1:40" ht="18.95" customHeight="1" x14ac:dyDescent="0.2"/>
    <row r="43" spans="1:40" x14ac:dyDescent="0.2">
      <c r="A43" s="454" t="s">
        <v>214</v>
      </c>
      <c r="B43" s="454"/>
      <c r="F43" s="454" t="s">
        <v>215</v>
      </c>
      <c r="G43" s="454"/>
      <c r="H43" s="454"/>
      <c r="I43" s="454" t="s">
        <v>214</v>
      </c>
      <c r="J43" s="454"/>
      <c r="N43" s="454" t="s">
        <v>215</v>
      </c>
      <c r="O43" s="454"/>
      <c r="P43" s="454"/>
      <c r="Q43" s="454" t="s">
        <v>214</v>
      </c>
      <c r="R43" s="454"/>
      <c r="V43" s="454" t="s">
        <v>215</v>
      </c>
      <c r="W43" s="454"/>
      <c r="X43" s="454"/>
      <c r="Y43" s="472" t="s">
        <v>214</v>
      </c>
      <c r="Z43" s="472"/>
      <c r="AA43" s="168"/>
      <c r="AB43" s="168"/>
      <c r="AC43" s="168"/>
      <c r="AD43" s="472" t="s">
        <v>215</v>
      </c>
      <c r="AE43" s="472"/>
      <c r="AF43" s="472"/>
      <c r="AG43" s="472" t="s">
        <v>214</v>
      </c>
      <c r="AH43" s="472"/>
      <c r="AI43" s="168"/>
      <c r="AJ43" s="168"/>
      <c r="AK43" s="168"/>
      <c r="AL43" s="472" t="s">
        <v>215</v>
      </c>
      <c r="AM43" s="472"/>
      <c r="AN43" s="472"/>
    </row>
    <row r="44" spans="1:40" x14ac:dyDescent="0.2">
      <c r="E44" s="454" t="s">
        <v>216</v>
      </c>
      <c r="F44" s="454"/>
      <c r="G44" s="454"/>
      <c r="H44" s="454"/>
      <c r="M44" s="454" t="s">
        <v>216</v>
      </c>
      <c r="N44" s="454"/>
      <c r="O44" s="454"/>
      <c r="P44" s="454"/>
      <c r="U44" s="454" t="s">
        <v>216</v>
      </c>
      <c r="V44" s="454"/>
      <c r="W44" s="454"/>
      <c r="X44" s="454"/>
      <c r="AC44" s="454" t="s">
        <v>216</v>
      </c>
      <c r="AD44" s="454"/>
      <c r="AE44" s="454"/>
      <c r="AF44" s="454"/>
      <c r="AK44" s="454" t="s">
        <v>216</v>
      </c>
      <c r="AL44" s="454"/>
      <c r="AM44" s="454"/>
      <c r="AN44" s="454"/>
    </row>
    <row r="45" spans="1:40" x14ac:dyDescent="0.2">
      <c r="E45" s="150"/>
      <c r="F45" s="150"/>
      <c r="G45" s="150"/>
      <c r="H45" s="150"/>
      <c r="M45" s="150"/>
      <c r="N45" s="150"/>
      <c r="O45" s="150"/>
      <c r="P45" s="150"/>
      <c r="U45" s="150"/>
      <c r="V45" s="150"/>
      <c r="W45" s="150"/>
      <c r="X45" s="150"/>
      <c r="AC45" s="150"/>
      <c r="AD45" s="150"/>
      <c r="AE45" s="150"/>
      <c r="AF45" s="150"/>
      <c r="AK45" s="150"/>
      <c r="AL45" s="150"/>
      <c r="AM45" s="150"/>
      <c r="AN45" s="150"/>
    </row>
    <row r="46" spans="1:40" ht="18.95" customHeight="1" x14ac:dyDescent="0.2">
      <c r="A46" s="414" t="s">
        <v>392</v>
      </c>
      <c r="B46" s="414"/>
      <c r="C46" s="414"/>
      <c r="D46" s="414"/>
      <c r="E46" s="414"/>
      <c r="F46" s="414"/>
      <c r="G46" s="414"/>
      <c r="H46" s="414"/>
      <c r="I46" s="414" t="s">
        <v>393</v>
      </c>
      <c r="J46" s="414"/>
      <c r="K46" s="414"/>
      <c r="L46" s="414"/>
      <c r="M46" s="414"/>
      <c r="N46" s="414"/>
      <c r="O46" s="414"/>
      <c r="P46" s="414"/>
      <c r="Q46" s="414" t="s">
        <v>430</v>
      </c>
      <c r="R46" s="414"/>
      <c r="S46" s="414"/>
      <c r="T46" s="414"/>
      <c r="U46" s="414"/>
      <c r="V46" s="414"/>
      <c r="W46" s="414"/>
      <c r="X46" s="414"/>
      <c r="Y46" s="414" t="s">
        <v>431</v>
      </c>
      <c r="Z46" s="414"/>
      <c r="AA46" s="414"/>
      <c r="AB46" s="414"/>
      <c r="AC46" s="414"/>
      <c r="AD46" s="414"/>
      <c r="AE46" s="414"/>
      <c r="AF46" s="414"/>
      <c r="AG46" s="414" t="s">
        <v>432</v>
      </c>
      <c r="AH46" s="414"/>
      <c r="AI46" s="414"/>
      <c r="AJ46" s="414"/>
      <c r="AK46" s="414"/>
      <c r="AL46" s="414"/>
      <c r="AM46" s="414"/>
      <c r="AN46" s="414"/>
    </row>
    <row r="47" spans="1:40" ht="18.95" customHeight="1" x14ac:dyDescent="0.2">
      <c r="A47" s="473" t="s">
        <v>438</v>
      </c>
      <c r="B47" s="473"/>
      <c r="C47" s="473"/>
      <c r="D47" s="473"/>
      <c r="E47" s="473"/>
      <c r="F47" s="473"/>
      <c r="G47" s="473"/>
      <c r="H47" s="473"/>
      <c r="I47" s="473" t="s">
        <v>443</v>
      </c>
      <c r="J47" s="473"/>
      <c r="K47" s="473"/>
      <c r="L47" s="473"/>
      <c r="M47" s="473"/>
      <c r="N47" s="473"/>
      <c r="O47" s="473"/>
      <c r="P47" s="473"/>
      <c r="Q47" s="473" t="s">
        <v>447</v>
      </c>
      <c r="R47" s="465"/>
      <c r="S47" s="465"/>
      <c r="T47" s="465"/>
      <c r="U47" s="465"/>
      <c r="V47" s="465"/>
      <c r="W47" s="465"/>
      <c r="X47" s="465"/>
      <c r="Y47" s="473" t="s">
        <v>451</v>
      </c>
      <c r="Z47" s="465"/>
      <c r="AA47" s="465"/>
      <c r="AB47" s="465"/>
      <c r="AC47" s="465"/>
      <c r="AD47" s="465"/>
      <c r="AE47" s="465"/>
      <c r="AF47" s="465"/>
      <c r="AG47" s="473" t="s">
        <v>452</v>
      </c>
      <c r="AH47" s="465"/>
      <c r="AI47" s="465"/>
      <c r="AJ47" s="465"/>
      <c r="AK47" s="465"/>
      <c r="AL47" s="465"/>
      <c r="AM47" s="465"/>
      <c r="AN47" s="465"/>
    </row>
    <row r="48" spans="1:40" ht="18.95" customHeight="1" x14ac:dyDescent="0.2">
      <c r="A48" s="473" t="s">
        <v>433</v>
      </c>
      <c r="B48" s="473"/>
      <c r="C48" s="473"/>
      <c r="D48" s="473"/>
      <c r="E48" s="473"/>
      <c r="F48" s="473"/>
      <c r="G48" s="473"/>
      <c r="H48" s="473"/>
      <c r="I48" s="473" t="s">
        <v>434</v>
      </c>
      <c r="J48" s="473"/>
      <c r="K48" s="473"/>
      <c r="L48" s="473"/>
      <c r="M48" s="473"/>
      <c r="N48" s="473"/>
      <c r="O48" s="473"/>
      <c r="P48" s="473"/>
      <c r="Q48" s="473" t="s">
        <v>435</v>
      </c>
      <c r="R48" s="473"/>
      <c r="S48" s="473"/>
      <c r="T48" s="473"/>
      <c r="U48" s="473"/>
      <c r="V48" s="473"/>
      <c r="W48" s="473"/>
      <c r="X48" s="473"/>
      <c r="Y48" s="473" t="s">
        <v>436</v>
      </c>
      <c r="Z48" s="473"/>
      <c r="AA48" s="473"/>
      <c r="AB48" s="473"/>
      <c r="AC48" s="473"/>
      <c r="AD48" s="473"/>
      <c r="AE48" s="473"/>
      <c r="AF48" s="473"/>
      <c r="AG48" s="473" t="s">
        <v>437</v>
      </c>
      <c r="AH48" s="473"/>
      <c r="AI48" s="473"/>
      <c r="AJ48" s="473"/>
      <c r="AK48" s="473"/>
      <c r="AL48" s="473"/>
      <c r="AM48" s="473"/>
      <c r="AN48" s="473"/>
    </row>
    <row r="49" spans="1:40" ht="18.95" customHeight="1" x14ac:dyDescent="0.2">
      <c r="A49" s="465" t="s">
        <v>189</v>
      </c>
      <c r="B49" s="465"/>
      <c r="C49" s="465"/>
      <c r="D49" s="465"/>
      <c r="E49" s="465"/>
      <c r="F49" s="465"/>
      <c r="G49" s="465"/>
      <c r="H49" s="465"/>
      <c r="I49" s="465" t="s">
        <v>189</v>
      </c>
      <c r="J49" s="465"/>
      <c r="K49" s="465"/>
      <c r="L49" s="465"/>
      <c r="M49" s="465"/>
      <c r="N49" s="465"/>
      <c r="O49" s="465"/>
      <c r="P49" s="465"/>
      <c r="Q49" s="465" t="s">
        <v>189</v>
      </c>
      <c r="R49" s="465"/>
      <c r="S49" s="465"/>
      <c r="T49" s="465"/>
      <c r="U49" s="465"/>
      <c r="V49" s="465"/>
      <c r="W49" s="465"/>
      <c r="X49" s="465"/>
      <c r="Y49" s="465" t="s">
        <v>189</v>
      </c>
      <c r="Z49" s="465"/>
      <c r="AA49" s="465"/>
      <c r="AB49" s="465"/>
      <c r="AC49" s="465"/>
      <c r="AD49" s="465"/>
      <c r="AE49" s="465"/>
      <c r="AF49" s="465"/>
      <c r="AG49" s="465" t="s">
        <v>189</v>
      </c>
      <c r="AH49" s="465"/>
      <c r="AI49" s="465"/>
      <c r="AJ49" s="465"/>
      <c r="AK49" s="465"/>
      <c r="AL49" s="465"/>
      <c r="AM49" s="465"/>
      <c r="AN49" s="465"/>
    </row>
    <row r="50" spans="1:40" ht="18.95" customHeight="1" x14ac:dyDescent="0.2">
      <c r="A50" s="465" t="s">
        <v>190</v>
      </c>
      <c r="B50" s="465"/>
      <c r="C50" s="465"/>
      <c r="D50" s="465"/>
      <c r="E50" s="465"/>
      <c r="F50" s="465"/>
      <c r="G50" s="465"/>
      <c r="H50" s="465"/>
      <c r="I50" s="465" t="s">
        <v>190</v>
      </c>
      <c r="J50" s="465"/>
      <c r="K50" s="465"/>
      <c r="L50" s="465"/>
      <c r="M50" s="465"/>
      <c r="N50" s="465"/>
      <c r="O50" s="465"/>
      <c r="P50" s="465"/>
      <c r="Q50" s="465" t="s">
        <v>190</v>
      </c>
      <c r="R50" s="465"/>
      <c r="S50" s="465"/>
      <c r="T50" s="465"/>
      <c r="U50" s="465"/>
      <c r="V50" s="465"/>
      <c r="W50" s="465"/>
      <c r="X50" s="465"/>
      <c r="Y50" s="465" t="s">
        <v>190</v>
      </c>
      <c r="Z50" s="465"/>
      <c r="AA50" s="465"/>
      <c r="AB50" s="465"/>
      <c r="AC50" s="465"/>
      <c r="AD50" s="465"/>
      <c r="AE50" s="465"/>
      <c r="AF50" s="465"/>
      <c r="AG50" s="465" t="s">
        <v>190</v>
      </c>
      <c r="AH50" s="465"/>
      <c r="AI50" s="465"/>
      <c r="AJ50" s="465"/>
      <c r="AK50" s="465"/>
      <c r="AL50" s="465"/>
      <c r="AM50" s="465"/>
      <c r="AN50" s="465"/>
    </row>
    <row r="51" spans="1:40" ht="18.95" customHeight="1" x14ac:dyDescent="0.2">
      <c r="C51" s="148"/>
      <c r="K51" s="148"/>
      <c r="S51" s="148"/>
      <c r="AA51" s="148"/>
      <c r="AI51" s="148"/>
    </row>
    <row r="52" spans="1:40" ht="18.95" customHeight="1" x14ac:dyDescent="0.2">
      <c r="B52" s="466" t="s">
        <v>174</v>
      </c>
      <c r="C52" s="467"/>
      <c r="D52" s="412" t="s">
        <v>179</v>
      </c>
      <c r="E52" s="412"/>
      <c r="F52" s="412"/>
      <c r="G52" s="412"/>
      <c r="J52" s="466" t="s">
        <v>174</v>
      </c>
      <c r="K52" s="467"/>
      <c r="L52" s="474" t="s">
        <v>179</v>
      </c>
      <c r="M52" s="475"/>
      <c r="N52" s="475"/>
      <c r="O52" s="476"/>
      <c r="R52" s="466" t="s">
        <v>174</v>
      </c>
      <c r="S52" s="467"/>
      <c r="T52" s="412" t="s">
        <v>179</v>
      </c>
      <c r="U52" s="412"/>
      <c r="V52" s="412"/>
      <c r="W52" s="412"/>
      <c r="Z52" s="466" t="s">
        <v>174</v>
      </c>
      <c r="AA52" s="467"/>
      <c r="AB52" s="412" t="s">
        <v>179</v>
      </c>
      <c r="AC52" s="412"/>
      <c r="AD52" s="412"/>
      <c r="AE52" s="412"/>
      <c r="AH52" s="466" t="s">
        <v>174</v>
      </c>
      <c r="AI52" s="467"/>
      <c r="AJ52" s="412" t="s">
        <v>179</v>
      </c>
      <c r="AK52" s="412"/>
      <c r="AL52" s="412"/>
      <c r="AM52" s="412"/>
    </row>
    <row r="53" spans="1:40" ht="18.95" customHeight="1" x14ac:dyDescent="0.2">
      <c r="B53" s="468"/>
      <c r="C53" s="469"/>
      <c r="D53" s="412" t="s">
        <v>177</v>
      </c>
      <c r="E53" s="412"/>
      <c r="F53" s="412" t="s">
        <v>178</v>
      </c>
      <c r="G53" s="412"/>
      <c r="J53" s="468"/>
      <c r="K53" s="469"/>
      <c r="L53" s="474" t="s">
        <v>177</v>
      </c>
      <c r="M53" s="476"/>
      <c r="N53" s="474" t="s">
        <v>178</v>
      </c>
      <c r="O53" s="476"/>
      <c r="R53" s="468"/>
      <c r="S53" s="469"/>
      <c r="T53" s="412" t="s">
        <v>177</v>
      </c>
      <c r="U53" s="412"/>
      <c r="V53" s="412" t="s">
        <v>178</v>
      </c>
      <c r="W53" s="412"/>
      <c r="Z53" s="468"/>
      <c r="AA53" s="469"/>
      <c r="AB53" s="412" t="s">
        <v>177</v>
      </c>
      <c r="AC53" s="412"/>
      <c r="AD53" s="412" t="s">
        <v>178</v>
      </c>
      <c r="AE53" s="412"/>
      <c r="AH53" s="468"/>
      <c r="AI53" s="469"/>
      <c r="AJ53" s="412" t="s">
        <v>177</v>
      </c>
      <c r="AK53" s="412"/>
      <c r="AL53" s="412" t="s">
        <v>178</v>
      </c>
      <c r="AM53" s="412"/>
    </row>
    <row r="54" spans="1:40" ht="18.95" customHeight="1" x14ac:dyDescent="0.2">
      <c r="B54" s="470"/>
      <c r="C54" s="471"/>
      <c r="D54" s="147" t="s">
        <v>175</v>
      </c>
      <c r="E54" s="147" t="s">
        <v>176</v>
      </c>
      <c r="F54" s="147" t="s">
        <v>175</v>
      </c>
      <c r="G54" s="147" t="s">
        <v>176</v>
      </c>
      <c r="J54" s="470"/>
      <c r="K54" s="471"/>
      <c r="L54" s="147" t="s">
        <v>175</v>
      </c>
      <c r="M54" s="147" t="s">
        <v>176</v>
      </c>
      <c r="N54" s="147" t="s">
        <v>175</v>
      </c>
      <c r="O54" s="147" t="s">
        <v>176</v>
      </c>
      <c r="R54" s="470"/>
      <c r="S54" s="471"/>
      <c r="T54" s="147" t="s">
        <v>175</v>
      </c>
      <c r="U54" s="147" t="s">
        <v>176</v>
      </c>
      <c r="V54" s="147" t="s">
        <v>175</v>
      </c>
      <c r="W54" s="147" t="s">
        <v>176</v>
      </c>
      <c r="Z54" s="470"/>
      <c r="AA54" s="471"/>
      <c r="AB54" s="147" t="s">
        <v>175</v>
      </c>
      <c r="AC54" s="147" t="s">
        <v>176</v>
      </c>
      <c r="AD54" s="147" t="s">
        <v>175</v>
      </c>
      <c r="AE54" s="147" t="s">
        <v>176</v>
      </c>
      <c r="AH54" s="470"/>
      <c r="AI54" s="471"/>
      <c r="AJ54" s="147" t="s">
        <v>175</v>
      </c>
      <c r="AK54" s="147" t="s">
        <v>176</v>
      </c>
      <c r="AL54" s="147" t="s">
        <v>175</v>
      </c>
      <c r="AM54" s="147" t="s">
        <v>176</v>
      </c>
    </row>
    <row r="55" spans="1:40" ht="18.95" customHeight="1" x14ac:dyDescent="0.2">
      <c r="B55" s="455" t="s">
        <v>426</v>
      </c>
      <c r="C55" s="456"/>
      <c r="D55" s="106">
        <f>107*E63/100</f>
        <v>128.4</v>
      </c>
      <c r="E55" s="106">
        <f>79*E63/100</f>
        <v>94.8</v>
      </c>
      <c r="F55" s="106">
        <f>D55*100</f>
        <v>12840</v>
      </c>
      <c r="G55" s="106">
        <f>E55*100</f>
        <v>9480</v>
      </c>
      <c r="J55" s="455" t="s">
        <v>444</v>
      </c>
      <c r="K55" s="456"/>
      <c r="L55" s="106">
        <f>89*M61/100</f>
        <v>89</v>
      </c>
      <c r="M55" s="106">
        <f>74*M61/100</f>
        <v>74</v>
      </c>
      <c r="N55" s="106">
        <f t="shared" ref="N55:O58" si="7">L55*100</f>
        <v>8900</v>
      </c>
      <c r="O55" s="106">
        <f t="shared" si="7"/>
        <v>7400</v>
      </c>
      <c r="R55" s="455" t="s">
        <v>426</v>
      </c>
      <c r="S55" s="456"/>
      <c r="T55" s="41">
        <f>107</f>
        <v>107</v>
      </c>
      <c r="U55" s="41">
        <f>79</f>
        <v>79</v>
      </c>
      <c r="V55" s="41">
        <f>T55*100</f>
        <v>10700</v>
      </c>
      <c r="W55" s="41">
        <f>U55*100</f>
        <v>7900</v>
      </c>
      <c r="Z55" s="455" t="s">
        <v>426</v>
      </c>
      <c r="AA55" s="456"/>
      <c r="AB55" s="106">
        <f>107*AC62/100</f>
        <v>107</v>
      </c>
      <c r="AC55" s="106">
        <f>79*AC62/100</f>
        <v>79</v>
      </c>
      <c r="AD55" s="106">
        <f>AB55*100</f>
        <v>10700</v>
      </c>
      <c r="AE55" s="106">
        <f>AC55*100</f>
        <v>7900</v>
      </c>
      <c r="AH55" s="455" t="s">
        <v>444</v>
      </c>
      <c r="AI55" s="456"/>
      <c r="AJ55" s="106">
        <f>86*AK61/100</f>
        <v>103.2</v>
      </c>
      <c r="AK55" s="106">
        <f>71*AK61/100</f>
        <v>85.2</v>
      </c>
      <c r="AL55" s="106">
        <f>AJ55*100</f>
        <v>10320</v>
      </c>
      <c r="AM55" s="106">
        <f>AK55*100</f>
        <v>8520</v>
      </c>
    </row>
    <row r="56" spans="1:40" ht="18.95" customHeight="1" x14ac:dyDescent="0.2">
      <c r="B56" s="455" t="s">
        <v>211</v>
      </c>
      <c r="C56" s="456"/>
      <c r="D56" s="106">
        <f>29*E63/100</f>
        <v>34.799999999999997</v>
      </c>
      <c r="E56" s="106">
        <f>24*E63/100</f>
        <v>28.8</v>
      </c>
      <c r="F56" s="106">
        <f>D56*100</f>
        <v>3479.9999999999995</v>
      </c>
      <c r="G56" s="106">
        <f t="shared" ref="G56:G63" si="8">E56*100</f>
        <v>2880</v>
      </c>
      <c r="J56" s="455" t="s">
        <v>207</v>
      </c>
      <c r="K56" s="456"/>
      <c r="L56" s="106">
        <f>6*M61/100</f>
        <v>6</v>
      </c>
      <c r="M56" s="106">
        <f>6*M61/100</f>
        <v>6</v>
      </c>
      <c r="N56" s="106">
        <f t="shared" si="7"/>
        <v>600</v>
      </c>
      <c r="O56" s="106">
        <f t="shared" si="7"/>
        <v>600</v>
      </c>
      <c r="R56" s="455" t="s">
        <v>249</v>
      </c>
      <c r="S56" s="456"/>
      <c r="T56" s="41">
        <v>250.5</v>
      </c>
      <c r="U56" s="41">
        <v>150</v>
      </c>
      <c r="V56" s="41">
        <f t="shared" ref="V56:V61" si="9">T56*100</f>
        <v>25050</v>
      </c>
      <c r="W56" s="41">
        <f t="shared" ref="W56:W61" si="10">U56*100</f>
        <v>15000</v>
      </c>
      <c r="Z56" s="455" t="s">
        <v>207</v>
      </c>
      <c r="AA56" s="456"/>
      <c r="AB56" s="106">
        <f>5*AC62/100</f>
        <v>5</v>
      </c>
      <c r="AC56" s="106">
        <f>5*AC62/100</f>
        <v>5</v>
      </c>
      <c r="AD56" s="106">
        <f>AB56*100</f>
        <v>500</v>
      </c>
      <c r="AE56" s="106">
        <f t="shared" ref="AE56:AE62" si="11">AC56*100</f>
        <v>500</v>
      </c>
      <c r="AH56" s="455" t="s">
        <v>410</v>
      </c>
      <c r="AI56" s="456"/>
      <c r="AJ56" s="106">
        <f>3*AK61/100</f>
        <v>3.6</v>
      </c>
      <c r="AK56" s="106">
        <f>3*AK61/100</f>
        <v>3.6</v>
      </c>
      <c r="AL56" s="106">
        <f>AJ56*100</f>
        <v>360</v>
      </c>
      <c r="AM56" s="106">
        <f>AK56*100</f>
        <v>360</v>
      </c>
    </row>
    <row r="57" spans="1:40" ht="18.95" customHeight="1" x14ac:dyDescent="0.2">
      <c r="B57" s="455" t="s">
        <v>207</v>
      </c>
      <c r="C57" s="456"/>
      <c r="D57" s="106">
        <f>7*E63/100</f>
        <v>8.4</v>
      </c>
      <c r="E57" s="106">
        <f>7*E63/100</f>
        <v>8.4</v>
      </c>
      <c r="F57" s="106">
        <f>D57*100</f>
        <v>840</v>
      </c>
      <c r="G57" s="106">
        <f t="shared" si="8"/>
        <v>840</v>
      </c>
      <c r="J57" s="455" t="s">
        <v>476</v>
      </c>
      <c r="K57" s="456"/>
      <c r="L57" s="106">
        <f>4*M61/100</f>
        <v>4</v>
      </c>
      <c r="M57" s="106">
        <f>4*M61/100</f>
        <v>4</v>
      </c>
      <c r="N57" s="106">
        <f t="shared" si="7"/>
        <v>400</v>
      </c>
      <c r="O57" s="106">
        <f t="shared" si="7"/>
        <v>400</v>
      </c>
      <c r="R57" s="455" t="s">
        <v>211</v>
      </c>
      <c r="S57" s="456"/>
      <c r="T57" s="41">
        <v>12</v>
      </c>
      <c r="U57" s="41">
        <v>10</v>
      </c>
      <c r="V57" s="41">
        <f t="shared" si="9"/>
        <v>1200</v>
      </c>
      <c r="W57" s="41">
        <f t="shared" si="10"/>
        <v>1000</v>
      </c>
      <c r="Z57" s="455" t="s">
        <v>211</v>
      </c>
      <c r="AA57" s="456"/>
      <c r="AB57" s="106">
        <f>12*AC62/100</f>
        <v>12</v>
      </c>
      <c r="AC57" s="106">
        <f>10*AC62/100</f>
        <v>10</v>
      </c>
      <c r="AD57" s="106">
        <f>AB57*100</f>
        <v>1200</v>
      </c>
      <c r="AE57" s="106">
        <f t="shared" si="11"/>
        <v>1000</v>
      </c>
      <c r="AH57" s="455" t="s">
        <v>416</v>
      </c>
      <c r="AI57" s="456"/>
      <c r="AJ57" s="106"/>
      <c r="AK57" s="106">
        <f>74*AK61/100</f>
        <v>88.8</v>
      </c>
      <c r="AL57" s="106"/>
      <c r="AM57" s="106">
        <f>AK57*100</f>
        <v>8880</v>
      </c>
    </row>
    <row r="58" spans="1:40" ht="18.95" customHeight="1" x14ac:dyDescent="0.2">
      <c r="B58" s="488" t="s">
        <v>439</v>
      </c>
      <c r="C58" s="489"/>
      <c r="D58" s="106"/>
      <c r="E58" s="106">
        <f>12*E63/100</f>
        <v>14.4</v>
      </c>
      <c r="F58" s="106"/>
      <c r="G58" s="106">
        <f t="shared" si="8"/>
        <v>1440</v>
      </c>
      <c r="J58" s="455" t="s">
        <v>640</v>
      </c>
      <c r="K58" s="456"/>
      <c r="L58" s="106">
        <f>0.02*M61/100</f>
        <v>0.02</v>
      </c>
      <c r="M58" s="106">
        <f>0.02*M61/100</f>
        <v>0.02</v>
      </c>
      <c r="N58" s="106">
        <f t="shared" si="7"/>
        <v>2</v>
      </c>
      <c r="O58" s="106">
        <f t="shared" si="7"/>
        <v>2</v>
      </c>
      <c r="R58" s="455" t="s">
        <v>975</v>
      </c>
      <c r="S58" s="456"/>
      <c r="T58" s="41">
        <v>24</v>
      </c>
      <c r="U58" s="41">
        <v>24</v>
      </c>
      <c r="V58" s="41">
        <f t="shared" si="9"/>
        <v>2400</v>
      </c>
      <c r="W58" s="41">
        <f t="shared" si="10"/>
        <v>2400</v>
      </c>
      <c r="Z58" s="455" t="s">
        <v>357</v>
      </c>
      <c r="AA58" s="456"/>
      <c r="AB58" s="106">
        <f>8*AC62/100</f>
        <v>8</v>
      </c>
      <c r="AC58" s="106">
        <f>8*AC62/100</f>
        <v>8</v>
      </c>
      <c r="AD58" s="106">
        <f>AB58*100</f>
        <v>800</v>
      </c>
      <c r="AE58" s="106">
        <f t="shared" si="11"/>
        <v>800</v>
      </c>
      <c r="AH58" s="455" t="s">
        <v>207</v>
      </c>
      <c r="AI58" s="456"/>
      <c r="AJ58" s="106">
        <f>5*AK61/100</f>
        <v>6</v>
      </c>
      <c r="AK58" s="106">
        <f>5*AK61/100</f>
        <v>6</v>
      </c>
      <c r="AL58" s="106">
        <f>AJ58*100</f>
        <v>600</v>
      </c>
      <c r="AM58" s="106">
        <f>AK58*100</f>
        <v>600</v>
      </c>
    </row>
    <row r="59" spans="1:40" ht="18.95" customHeight="1" x14ac:dyDescent="0.2">
      <c r="B59" s="455" t="s">
        <v>410</v>
      </c>
      <c r="C59" s="456"/>
      <c r="D59" s="106">
        <f>4*E63/100</f>
        <v>4.8</v>
      </c>
      <c r="E59" s="106">
        <f>4*E63/100</f>
        <v>4.8</v>
      </c>
      <c r="F59" s="106">
        <f>D59*100</f>
        <v>480</v>
      </c>
      <c r="G59" s="106">
        <f t="shared" si="8"/>
        <v>480</v>
      </c>
      <c r="J59" s="455" t="s">
        <v>445</v>
      </c>
      <c r="K59" s="456"/>
      <c r="L59" s="106"/>
      <c r="M59" s="106">
        <f>50*M61/100</f>
        <v>50</v>
      </c>
      <c r="N59" s="106"/>
      <c r="O59" s="106">
        <f>M59*100</f>
        <v>5000</v>
      </c>
      <c r="R59" s="145" t="s">
        <v>207</v>
      </c>
      <c r="S59" s="146"/>
      <c r="T59" s="41">
        <v>6</v>
      </c>
      <c r="U59" s="41">
        <v>6</v>
      </c>
      <c r="V59" s="41">
        <f t="shared" si="9"/>
        <v>600</v>
      </c>
      <c r="W59" s="41">
        <f t="shared" si="10"/>
        <v>600</v>
      </c>
      <c r="Z59" s="455" t="s">
        <v>410</v>
      </c>
      <c r="AA59" s="456"/>
      <c r="AB59" s="106">
        <f>2*AC62/100</f>
        <v>2</v>
      </c>
      <c r="AC59" s="106">
        <f>2*AC62/100</f>
        <v>2</v>
      </c>
      <c r="AD59" s="106">
        <f>AB59*100</f>
        <v>200</v>
      </c>
      <c r="AE59" s="106">
        <f t="shared" si="11"/>
        <v>200</v>
      </c>
      <c r="AH59" s="455" t="s">
        <v>453</v>
      </c>
      <c r="AI59" s="456"/>
      <c r="AJ59" s="106"/>
      <c r="AK59" s="106">
        <f>50*AK61/100</f>
        <v>60</v>
      </c>
      <c r="AL59" s="106"/>
      <c r="AM59" s="106">
        <f>AK59*100</f>
        <v>6000</v>
      </c>
    </row>
    <row r="60" spans="1:40" ht="18.95" customHeight="1" x14ac:dyDescent="0.2">
      <c r="B60" s="455" t="s">
        <v>440</v>
      </c>
      <c r="C60" s="456"/>
      <c r="D60" s="106">
        <f>23*E63/100</f>
        <v>27.6</v>
      </c>
      <c r="E60" s="106">
        <f>23*E63/100</f>
        <v>27.6</v>
      </c>
      <c r="F60" s="106">
        <f>D60*100</f>
        <v>2760</v>
      </c>
      <c r="G60" s="106">
        <f t="shared" si="8"/>
        <v>2760</v>
      </c>
      <c r="J60" s="455" t="s">
        <v>984</v>
      </c>
      <c r="K60" s="456"/>
      <c r="L60" s="106"/>
      <c r="M60" s="106">
        <f>50*M61/100</f>
        <v>50</v>
      </c>
      <c r="N60" s="106"/>
      <c r="O60" s="106">
        <f>M60*100</f>
        <v>5000</v>
      </c>
      <c r="R60" s="455" t="s">
        <v>476</v>
      </c>
      <c r="S60" s="456"/>
      <c r="T60" s="106">
        <v>4</v>
      </c>
      <c r="U60" s="106">
        <v>4</v>
      </c>
      <c r="V60" s="106">
        <f t="shared" si="9"/>
        <v>400</v>
      </c>
      <c r="W60" s="106">
        <f t="shared" si="10"/>
        <v>400</v>
      </c>
      <c r="Z60" s="455" t="s">
        <v>448</v>
      </c>
      <c r="AA60" s="456"/>
      <c r="AB60" s="106"/>
      <c r="AC60" s="106">
        <f>50*AC62/100</f>
        <v>50</v>
      </c>
      <c r="AD60" s="106"/>
      <c r="AE60" s="106">
        <f t="shared" si="11"/>
        <v>5000</v>
      </c>
      <c r="AH60" s="455" t="s">
        <v>454</v>
      </c>
      <c r="AI60" s="456"/>
      <c r="AJ60" s="106"/>
      <c r="AK60" s="106">
        <f>50*AK61/100</f>
        <v>60</v>
      </c>
      <c r="AL60" s="106"/>
      <c r="AM60" s="106">
        <f>AK60*100</f>
        <v>6000</v>
      </c>
    </row>
    <row r="61" spans="1:40" ht="18.95" customHeight="1" x14ac:dyDescent="0.2">
      <c r="B61" s="455" t="s">
        <v>441</v>
      </c>
      <c r="C61" s="456"/>
      <c r="D61" s="106"/>
      <c r="E61" s="106">
        <f>50*E63/100</f>
        <v>60</v>
      </c>
      <c r="F61" s="106"/>
      <c r="G61" s="106">
        <f t="shared" si="8"/>
        <v>6000</v>
      </c>
      <c r="J61" s="457" t="s">
        <v>180</v>
      </c>
      <c r="K61" s="458"/>
      <c r="L61" s="118"/>
      <c r="M61" s="106">
        <f>мясо!B17</f>
        <v>100</v>
      </c>
      <c r="N61" s="106"/>
      <c r="O61" s="106">
        <f>M61*100</f>
        <v>10000</v>
      </c>
      <c r="R61" s="455" t="s">
        <v>640</v>
      </c>
      <c r="S61" s="456"/>
      <c r="T61" s="106">
        <v>0.02</v>
      </c>
      <c r="U61" s="106">
        <v>0.02</v>
      </c>
      <c r="V61" s="106">
        <f t="shared" si="9"/>
        <v>2</v>
      </c>
      <c r="W61" s="106">
        <f t="shared" si="10"/>
        <v>2</v>
      </c>
      <c r="Z61" s="455" t="s">
        <v>428</v>
      </c>
      <c r="AA61" s="456"/>
      <c r="AB61" s="106"/>
      <c r="AC61" s="106">
        <f>50*AC62/100</f>
        <v>50</v>
      </c>
      <c r="AD61" s="106"/>
      <c r="AE61" s="106">
        <f t="shared" si="11"/>
        <v>5000</v>
      </c>
      <c r="AH61" s="457" t="s">
        <v>180</v>
      </c>
      <c r="AI61" s="458"/>
      <c r="AJ61" s="118"/>
      <c r="AK61" s="106">
        <f>мясо!B23</f>
        <v>120</v>
      </c>
      <c r="AL61" s="106"/>
      <c r="AM61" s="106">
        <f>AK61*100</f>
        <v>12000</v>
      </c>
    </row>
    <row r="62" spans="1:40" ht="18.95" customHeight="1" x14ac:dyDescent="0.2">
      <c r="B62" s="463" t="s">
        <v>442</v>
      </c>
      <c r="C62" s="464"/>
      <c r="D62" s="106"/>
      <c r="E62" s="106">
        <f>50*E63/100</f>
        <v>60</v>
      </c>
      <c r="F62" s="106"/>
      <c r="G62" s="106">
        <f t="shared" si="8"/>
        <v>6000</v>
      </c>
      <c r="R62" s="145" t="s">
        <v>448</v>
      </c>
      <c r="S62" s="146"/>
      <c r="T62" s="41"/>
      <c r="U62" s="41">
        <v>50</v>
      </c>
      <c r="V62" s="41"/>
      <c r="W62" s="41">
        <f>U62*100</f>
        <v>5000</v>
      </c>
      <c r="Z62" s="457" t="s">
        <v>180</v>
      </c>
      <c r="AA62" s="458"/>
      <c r="AB62" s="118"/>
      <c r="AC62" s="106">
        <f>мясо!B21</f>
        <v>100</v>
      </c>
      <c r="AD62" s="106"/>
      <c r="AE62" s="106">
        <f t="shared" si="11"/>
        <v>10000</v>
      </c>
    </row>
    <row r="63" spans="1:40" ht="18.95" customHeight="1" x14ac:dyDescent="0.2">
      <c r="B63" s="457" t="s">
        <v>180</v>
      </c>
      <c r="C63" s="458"/>
      <c r="D63" s="118"/>
      <c r="E63" s="106">
        <f>мясо!B15</f>
        <v>120</v>
      </c>
      <c r="F63" s="106"/>
      <c r="G63" s="106">
        <f t="shared" si="8"/>
        <v>12000</v>
      </c>
      <c r="I63" s="459" t="s">
        <v>181</v>
      </c>
      <c r="J63" s="459"/>
      <c r="K63" s="459"/>
      <c r="L63" s="459"/>
      <c r="M63" s="459"/>
      <c r="N63" s="459"/>
      <c r="O63" s="459"/>
      <c r="P63" s="459"/>
      <c r="R63" s="145" t="s">
        <v>449</v>
      </c>
      <c r="S63" s="146"/>
      <c r="T63" s="41"/>
      <c r="U63" s="41">
        <v>150</v>
      </c>
      <c r="V63" s="41"/>
      <c r="W63" s="41">
        <f>U63*100</f>
        <v>15000</v>
      </c>
      <c r="AG63" s="459" t="s">
        <v>181</v>
      </c>
      <c r="AH63" s="459"/>
      <c r="AI63" s="459"/>
      <c r="AJ63" s="459"/>
      <c r="AK63" s="459"/>
      <c r="AL63" s="459"/>
      <c r="AM63" s="459"/>
      <c r="AN63" s="459"/>
    </row>
    <row r="64" spans="1:40" ht="18.95" customHeight="1" x14ac:dyDescent="0.2">
      <c r="I64" s="228" t="s">
        <v>182</v>
      </c>
      <c r="J64" s="228" t="s">
        <v>106</v>
      </c>
      <c r="K64" s="229" t="s">
        <v>107</v>
      </c>
      <c r="L64" s="230" t="s">
        <v>187</v>
      </c>
      <c r="M64" s="228" t="s">
        <v>183</v>
      </c>
      <c r="N64" s="228" t="s">
        <v>184</v>
      </c>
      <c r="O64" s="228" t="s">
        <v>185</v>
      </c>
      <c r="P64" s="228" t="s">
        <v>186</v>
      </c>
      <c r="R64" s="457" t="s">
        <v>180</v>
      </c>
      <c r="S64" s="458"/>
      <c r="T64" s="118"/>
      <c r="U64" s="106">
        <f>мясо!B19</f>
        <v>200</v>
      </c>
      <c r="V64" s="118"/>
      <c r="W64" s="106">
        <f>U64*100</f>
        <v>20000</v>
      </c>
      <c r="Y64" s="459" t="s">
        <v>181</v>
      </c>
      <c r="Z64" s="459"/>
      <c r="AA64" s="459"/>
      <c r="AB64" s="459"/>
      <c r="AC64" s="459"/>
      <c r="AD64" s="459"/>
      <c r="AE64" s="459"/>
      <c r="AF64" s="461"/>
      <c r="AG64" s="147" t="s">
        <v>182</v>
      </c>
      <c r="AH64" s="147" t="s">
        <v>106</v>
      </c>
      <c r="AI64" s="115" t="s">
        <v>107</v>
      </c>
      <c r="AJ64" s="116" t="s">
        <v>187</v>
      </c>
      <c r="AK64" s="147" t="s">
        <v>183</v>
      </c>
      <c r="AL64" s="147" t="s">
        <v>184</v>
      </c>
      <c r="AM64" s="147" t="s">
        <v>185</v>
      </c>
      <c r="AN64" s="147" t="s">
        <v>186</v>
      </c>
    </row>
    <row r="65" spans="1:40" ht="18.95" customHeight="1" x14ac:dyDescent="0.2">
      <c r="A65" s="459" t="s">
        <v>181</v>
      </c>
      <c r="B65" s="459"/>
      <c r="C65" s="459"/>
      <c r="D65" s="459"/>
      <c r="E65" s="459"/>
      <c r="F65" s="459"/>
      <c r="G65" s="459"/>
      <c r="H65" s="459"/>
      <c r="I65" s="41">
        <f>мясо!E17</f>
        <v>13.26</v>
      </c>
      <c r="J65" s="41">
        <f>мясо!F17</f>
        <v>11.23</v>
      </c>
      <c r="K65" s="41">
        <f>мясо!G17</f>
        <v>3.52</v>
      </c>
      <c r="L65" s="41">
        <f>мясо!H17</f>
        <v>185</v>
      </c>
      <c r="M65" s="41">
        <f>мясо!M17</f>
        <v>33.24</v>
      </c>
      <c r="N65" s="41">
        <f>мясо!O17</f>
        <v>17.47</v>
      </c>
      <c r="O65" s="41">
        <f>мясо!P17</f>
        <v>5</v>
      </c>
      <c r="P65" s="41">
        <f>мясо!J17</f>
        <v>8.4499999999999993</v>
      </c>
      <c r="T65" s="33" t="s">
        <v>997</v>
      </c>
      <c r="Y65" s="147" t="s">
        <v>182</v>
      </c>
      <c r="Z65" s="147" t="s">
        <v>106</v>
      </c>
      <c r="AA65" s="115" t="s">
        <v>107</v>
      </c>
      <c r="AB65" s="116" t="s">
        <v>187</v>
      </c>
      <c r="AC65" s="147" t="s">
        <v>183</v>
      </c>
      <c r="AD65" s="147" t="s">
        <v>184</v>
      </c>
      <c r="AE65" s="147" t="s">
        <v>185</v>
      </c>
      <c r="AF65" s="147" t="s">
        <v>186</v>
      </c>
      <c r="AG65" s="41">
        <f>мясо!E23</f>
        <v>15.192</v>
      </c>
      <c r="AH65" s="41">
        <f>мясо!F23</f>
        <v>10.512</v>
      </c>
      <c r="AI65" s="41">
        <f>мясо!G23</f>
        <v>4.5720000000000001</v>
      </c>
      <c r="AJ65" s="41">
        <f>мясо!H23</f>
        <v>190.8</v>
      </c>
      <c r="AK65" s="41">
        <f>мясо!M23</f>
        <v>6.7439999999999998</v>
      </c>
      <c r="AL65" s="41">
        <f>мясо!O23</f>
        <v>17.760000000000002</v>
      </c>
      <c r="AM65" s="41">
        <f>мясо!P23</f>
        <v>5.6639999999999997</v>
      </c>
      <c r="AN65" s="41">
        <f>мясо!J23</f>
        <v>34.631999999999998</v>
      </c>
    </row>
    <row r="66" spans="1:40" ht="18.95" customHeight="1" x14ac:dyDescent="0.2">
      <c r="A66" s="147" t="s">
        <v>182</v>
      </c>
      <c r="B66" s="147" t="s">
        <v>106</v>
      </c>
      <c r="C66" s="115" t="s">
        <v>107</v>
      </c>
      <c r="D66" s="116" t="s">
        <v>187</v>
      </c>
      <c r="E66" s="147" t="s">
        <v>183</v>
      </c>
      <c r="F66" s="147" t="s">
        <v>184</v>
      </c>
      <c r="G66" s="147" t="s">
        <v>185</v>
      </c>
      <c r="H66" s="147" t="s">
        <v>186</v>
      </c>
      <c r="Q66" s="460" t="s">
        <v>181</v>
      </c>
      <c r="R66" s="459"/>
      <c r="S66" s="459"/>
      <c r="T66" s="459"/>
      <c r="U66" s="459"/>
      <c r="V66" s="459"/>
      <c r="W66" s="459"/>
      <c r="X66" s="461"/>
      <c r="Y66" s="41">
        <f>мясо!E21</f>
        <v>14.55</v>
      </c>
      <c r="Z66" s="41">
        <f>мясо!F21</f>
        <v>16.79</v>
      </c>
      <c r="AA66" s="41">
        <f>мясо!G21</f>
        <v>2.89</v>
      </c>
      <c r="AB66" s="41">
        <f>мясо!H21</f>
        <v>221</v>
      </c>
      <c r="AC66" s="41">
        <f>мясо!M21</f>
        <v>21.81</v>
      </c>
      <c r="AD66" s="41">
        <f>мясо!O21</f>
        <v>22.03</v>
      </c>
      <c r="AE66" s="41">
        <f>мясо!P21</f>
        <v>3.06</v>
      </c>
      <c r="AF66" s="41">
        <f>мясо!J21</f>
        <v>0.92</v>
      </c>
    </row>
    <row r="67" spans="1:40" ht="18.95" customHeight="1" x14ac:dyDescent="0.2">
      <c r="A67" s="41">
        <f>мясо!E15</f>
        <v>18.239999999999998</v>
      </c>
      <c r="B67" s="41">
        <f>мясо!F15</f>
        <v>27.72</v>
      </c>
      <c r="C67" s="41">
        <f>мясо!G15</f>
        <v>6.1440000000000001</v>
      </c>
      <c r="D67" s="41">
        <f>мясо!H15</f>
        <v>348</v>
      </c>
      <c r="E67" s="41">
        <f>мясо!M15</f>
        <v>51.983999999999995</v>
      </c>
      <c r="F67" s="41">
        <f>мясо!O15</f>
        <v>26.94</v>
      </c>
      <c r="G67" s="41">
        <f>мясо!P15</f>
        <v>2.88</v>
      </c>
      <c r="H67" s="41">
        <f>мясо!J15</f>
        <v>0.88800000000000001</v>
      </c>
      <c r="I67" s="487" t="s">
        <v>446</v>
      </c>
      <c r="J67" s="487"/>
      <c r="K67" s="487"/>
      <c r="L67" s="487"/>
      <c r="M67" s="487"/>
      <c r="N67" s="487"/>
      <c r="O67" s="487"/>
      <c r="P67" s="487"/>
      <c r="Q67" s="228" t="s">
        <v>182</v>
      </c>
      <c r="R67" s="228" t="s">
        <v>106</v>
      </c>
      <c r="S67" s="229" t="s">
        <v>107</v>
      </c>
      <c r="T67" s="230" t="s">
        <v>187</v>
      </c>
      <c r="U67" s="228" t="s">
        <v>183</v>
      </c>
      <c r="V67" s="228" t="s">
        <v>184</v>
      </c>
      <c r="W67" s="228" t="s">
        <v>185</v>
      </c>
      <c r="X67" s="228" t="s">
        <v>186</v>
      </c>
      <c r="AG67" s="462" t="s">
        <v>455</v>
      </c>
      <c r="AH67" s="462"/>
      <c r="AI67" s="462"/>
      <c r="AJ67" s="462"/>
      <c r="AK67" s="462"/>
      <c r="AL67" s="462"/>
      <c r="AM67" s="462"/>
      <c r="AN67" s="462"/>
    </row>
    <row r="68" spans="1:40" ht="18.95" customHeight="1" x14ac:dyDescent="0.2">
      <c r="I68" s="487"/>
      <c r="J68" s="487"/>
      <c r="K68" s="487"/>
      <c r="L68" s="487"/>
      <c r="M68" s="487"/>
      <c r="N68" s="487"/>
      <c r="O68" s="487"/>
      <c r="P68" s="487"/>
      <c r="Q68" s="41">
        <f>мясо!E19</f>
        <v>14.057142857142857</v>
      </c>
      <c r="R68" s="41">
        <f>мясо!F19</f>
        <v>33.714285714285715</v>
      </c>
      <c r="S68" s="41">
        <f>мясо!G19</f>
        <v>18.948571428571427</v>
      </c>
      <c r="T68" s="41">
        <f>мясо!H19</f>
        <v>437.71428571428572</v>
      </c>
      <c r="U68" s="41">
        <f>мясо!M19</f>
        <v>32.78857142857143</v>
      </c>
      <c r="V68" s="41">
        <f>мясо!O19</f>
        <v>48.96</v>
      </c>
      <c r="W68" s="41">
        <f>мясо!P19</f>
        <v>3.4514285714285715</v>
      </c>
      <c r="X68" s="41">
        <f>мясо!J19</f>
        <v>7.725714285714286</v>
      </c>
      <c r="Y68" s="462" t="s">
        <v>456</v>
      </c>
      <c r="Z68" s="462"/>
      <c r="AA68" s="462"/>
      <c r="AB68" s="462"/>
      <c r="AC68" s="462"/>
      <c r="AD68" s="462"/>
      <c r="AE68" s="462"/>
      <c r="AF68" s="462"/>
      <c r="AG68" s="462"/>
      <c r="AH68" s="462"/>
      <c r="AI68" s="462"/>
      <c r="AJ68" s="462"/>
      <c r="AK68" s="462"/>
      <c r="AL68" s="462"/>
      <c r="AM68" s="462"/>
      <c r="AN68" s="462"/>
    </row>
    <row r="69" spans="1:40" ht="18.95" customHeight="1" x14ac:dyDescent="0.2">
      <c r="A69" s="462" t="s">
        <v>689</v>
      </c>
      <c r="B69" s="462"/>
      <c r="C69" s="462"/>
      <c r="D69" s="462"/>
      <c r="E69" s="462"/>
      <c r="F69" s="462"/>
      <c r="G69" s="462"/>
      <c r="H69" s="462"/>
      <c r="I69" s="487"/>
      <c r="J69" s="487"/>
      <c r="K69" s="487"/>
      <c r="L69" s="487"/>
      <c r="M69" s="487"/>
      <c r="N69" s="487"/>
      <c r="O69" s="487"/>
      <c r="P69" s="487"/>
      <c r="Y69" s="462"/>
      <c r="Z69" s="462"/>
      <c r="AA69" s="462"/>
      <c r="AB69" s="462"/>
      <c r="AC69" s="462"/>
      <c r="AD69" s="462"/>
      <c r="AE69" s="462"/>
      <c r="AF69" s="462"/>
      <c r="AG69" s="462"/>
      <c r="AH69" s="462"/>
      <c r="AI69" s="462"/>
      <c r="AJ69" s="462"/>
      <c r="AK69" s="462"/>
      <c r="AL69" s="462"/>
      <c r="AM69" s="462"/>
      <c r="AN69" s="462"/>
    </row>
    <row r="70" spans="1:40" ht="18.95" customHeight="1" x14ac:dyDescent="0.2">
      <c r="A70" s="462"/>
      <c r="B70" s="462"/>
      <c r="C70" s="462"/>
      <c r="D70" s="462"/>
      <c r="E70" s="462"/>
      <c r="F70" s="462"/>
      <c r="G70" s="462"/>
      <c r="H70" s="462"/>
      <c r="I70" s="487"/>
      <c r="J70" s="487"/>
      <c r="K70" s="487"/>
      <c r="L70" s="487"/>
      <c r="M70" s="487"/>
      <c r="N70" s="487"/>
      <c r="O70" s="487"/>
      <c r="P70" s="487"/>
      <c r="Q70" s="487" t="s">
        <v>450</v>
      </c>
      <c r="R70" s="487"/>
      <c r="S70" s="487"/>
      <c r="T70" s="487"/>
      <c r="U70" s="487"/>
      <c r="V70" s="487"/>
      <c r="W70" s="487"/>
      <c r="X70" s="487"/>
      <c r="Y70" s="462"/>
      <c r="Z70" s="462"/>
      <c r="AA70" s="462"/>
      <c r="AB70" s="462"/>
      <c r="AC70" s="462"/>
      <c r="AD70" s="462"/>
      <c r="AE70" s="462"/>
      <c r="AF70" s="462"/>
      <c r="AG70" s="462"/>
      <c r="AH70" s="462"/>
      <c r="AI70" s="462"/>
      <c r="AJ70" s="462"/>
      <c r="AK70" s="462"/>
      <c r="AL70" s="462"/>
      <c r="AM70" s="462"/>
      <c r="AN70" s="462"/>
    </row>
    <row r="71" spans="1:40" ht="18.95" customHeight="1" x14ac:dyDescent="0.2">
      <c r="A71" s="462"/>
      <c r="B71" s="462"/>
      <c r="C71" s="462"/>
      <c r="D71" s="462"/>
      <c r="E71" s="462"/>
      <c r="F71" s="462"/>
      <c r="G71" s="462"/>
      <c r="H71" s="462"/>
      <c r="I71" s="125"/>
      <c r="J71" s="125"/>
      <c r="K71" s="125"/>
      <c r="Q71" s="487"/>
      <c r="R71" s="487"/>
      <c r="S71" s="487"/>
      <c r="T71" s="487"/>
      <c r="U71" s="487"/>
      <c r="V71" s="487"/>
      <c r="W71" s="487"/>
      <c r="X71" s="487"/>
      <c r="Y71" s="462"/>
      <c r="Z71" s="462"/>
      <c r="AA71" s="462"/>
      <c r="AB71" s="462"/>
      <c r="AC71" s="462"/>
      <c r="AD71" s="462"/>
      <c r="AE71" s="462"/>
      <c r="AF71" s="462"/>
      <c r="AG71" s="125"/>
    </row>
    <row r="72" spans="1:40" ht="18.95" customHeight="1" x14ac:dyDescent="0.2">
      <c r="A72" s="462"/>
      <c r="B72" s="462"/>
      <c r="C72" s="462"/>
      <c r="D72" s="462"/>
      <c r="E72" s="462"/>
      <c r="F72" s="462"/>
      <c r="G72" s="462"/>
      <c r="H72" s="462"/>
      <c r="I72" s="454" t="s">
        <v>232</v>
      </c>
      <c r="J72" s="454"/>
      <c r="K72" s="454"/>
      <c r="Q72" s="487"/>
      <c r="R72" s="487"/>
      <c r="S72" s="487"/>
      <c r="T72" s="487"/>
      <c r="U72" s="487"/>
      <c r="V72" s="487"/>
      <c r="W72" s="487"/>
      <c r="X72" s="487"/>
      <c r="Y72" s="462"/>
      <c r="Z72" s="462"/>
      <c r="AA72" s="462"/>
      <c r="AB72" s="462"/>
      <c r="AC72" s="462"/>
      <c r="AD72" s="462"/>
      <c r="AE72" s="462"/>
      <c r="AF72" s="462"/>
      <c r="AG72" s="454" t="s">
        <v>232</v>
      </c>
      <c r="AH72" s="454"/>
      <c r="AI72" s="454"/>
    </row>
    <row r="73" spans="1:40" ht="18.95" customHeight="1" x14ac:dyDescent="0.2">
      <c r="A73" s="462"/>
      <c r="B73" s="462"/>
      <c r="C73" s="462"/>
      <c r="D73" s="462"/>
      <c r="E73" s="462"/>
      <c r="F73" s="462"/>
      <c r="G73" s="462"/>
      <c r="H73" s="462"/>
      <c r="Q73" s="487"/>
      <c r="R73" s="487"/>
      <c r="S73" s="487"/>
      <c r="T73" s="487"/>
      <c r="U73" s="487"/>
      <c r="V73" s="487"/>
      <c r="W73" s="487"/>
      <c r="X73" s="487"/>
      <c r="Y73" s="454"/>
      <c r="Z73" s="454"/>
      <c r="AA73" s="454"/>
      <c r="AB73" s="142"/>
      <c r="AC73" s="142"/>
      <c r="AD73" s="142"/>
      <c r="AE73" s="142"/>
      <c r="AF73" s="142"/>
    </row>
    <row r="74" spans="1:40" ht="18.95" customHeight="1" x14ac:dyDescent="0.2">
      <c r="A74" s="119"/>
      <c r="B74" s="119"/>
      <c r="C74" s="119"/>
      <c r="D74" s="119"/>
      <c r="E74" s="119"/>
      <c r="F74" s="119"/>
      <c r="G74" s="119"/>
      <c r="H74" s="119"/>
      <c r="Q74" s="125"/>
      <c r="Y74" s="454" t="s">
        <v>232</v>
      </c>
      <c r="Z74" s="454"/>
      <c r="AA74" s="454"/>
    </row>
    <row r="75" spans="1:40" ht="18.95" customHeight="1" x14ac:dyDescent="0.2">
      <c r="A75" s="454" t="s">
        <v>232</v>
      </c>
      <c r="B75" s="454"/>
      <c r="C75" s="454"/>
      <c r="Q75" s="231" t="s">
        <v>232</v>
      </c>
      <c r="R75" s="231"/>
      <c r="S75" s="231"/>
    </row>
    <row r="76" spans="1:40" ht="18.95" customHeight="1" x14ac:dyDescent="0.2"/>
    <row r="77" spans="1:40" ht="18.95" customHeight="1" x14ac:dyDescent="0.2"/>
    <row r="78" spans="1:40" ht="18.95" customHeight="1" x14ac:dyDescent="0.2"/>
    <row r="79" spans="1:40" ht="18.95" customHeight="1" x14ac:dyDescent="0.2"/>
    <row r="80" spans="1:40" ht="18.95" customHeight="1" x14ac:dyDescent="0.2"/>
    <row r="81" spans="1:40" ht="18.95" customHeight="1" x14ac:dyDescent="0.2"/>
    <row r="82" spans="1:40" ht="18.95" customHeight="1" x14ac:dyDescent="0.2"/>
    <row r="83" spans="1:40" ht="18.95" customHeight="1" x14ac:dyDescent="0.2"/>
    <row r="84" spans="1:40" s="168" customFormat="1" x14ac:dyDescent="0.2">
      <c r="A84" s="472" t="s">
        <v>214</v>
      </c>
      <c r="B84" s="472"/>
      <c r="F84" s="472" t="s">
        <v>215</v>
      </c>
      <c r="G84" s="472"/>
      <c r="H84" s="472"/>
      <c r="I84" s="472" t="s">
        <v>214</v>
      </c>
      <c r="J84" s="472"/>
      <c r="N84" s="472" t="s">
        <v>215</v>
      </c>
      <c r="O84" s="472"/>
      <c r="P84" s="472"/>
      <c r="Q84" s="472" t="s">
        <v>214</v>
      </c>
      <c r="R84" s="472"/>
      <c r="V84" s="472" t="s">
        <v>215</v>
      </c>
      <c r="W84" s="472"/>
      <c r="X84" s="472"/>
      <c r="Y84" s="472" t="s">
        <v>214</v>
      </c>
      <c r="Z84" s="472"/>
      <c r="AD84" s="472" t="s">
        <v>215</v>
      </c>
      <c r="AE84" s="472"/>
      <c r="AF84" s="472"/>
      <c r="AG84" s="472" t="s">
        <v>214</v>
      </c>
      <c r="AH84" s="472"/>
      <c r="AL84" s="472" t="s">
        <v>215</v>
      </c>
      <c r="AM84" s="472"/>
      <c r="AN84" s="472"/>
    </row>
    <row r="85" spans="1:40" x14ac:dyDescent="0.2">
      <c r="E85" s="454" t="s">
        <v>216</v>
      </c>
      <c r="F85" s="454"/>
      <c r="G85" s="454"/>
      <c r="H85" s="454"/>
      <c r="M85" s="454" t="s">
        <v>216</v>
      </c>
      <c r="N85" s="454"/>
      <c r="O85" s="454"/>
      <c r="P85" s="454"/>
      <c r="U85" s="454" t="s">
        <v>216</v>
      </c>
      <c r="V85" s="454"/>
      <c r="W85" s="454"/>
      <c r="X85" s="454"/>
      <c r="AC85" s="454" t="s">
        <v>216</v>
      </c>
      <c r="AD85" s="454"/>
      <c r="AE85" s="454"/>
      <c r="AF85" s="454"/>
      <c r="AK85" s="454" t="s">
        <v>216</v>
      </c>
      <c r="AL85" s="454"/>
      <c r="AM85" s="454"/>
      <c r="AN85" s="454"/>
    </row>
    <row r="86" spans="1:40" x14ac:dyDescent="0.2">
      <c r="E86" s="150"/>
      <c r="F86" s="150"/>
      <c r="G86" s="150"/>
      <c r="H86" s="150"/>
      <c r="M86" s="150"/>
      <c r="N86" s="150"/>
      <c r="O86" s="150"/>
      <c r="P86" s="150"/>
      <c r="U86" s="150"/>
      <c r="V86" s="150"/>
      <c r="W86" s="150"/>
      <c r="X86" s="150"/>
      <c r="AC86" s="150"/>
      <c r="AD86" s="150"/>
      <c r="AE86" s="150"/>
      <c r="AF86" s="150"/>
      <c r="AK86" s="150"/>
      <c r="AL86" s="150"/>
      <c r="AM86" s="150"/>
      <c r="AN86" s="150"/>
    </row>
    <row r="87" spans="1:40" ht="18.95" customHeight="1" x14ac:dyDescent="0.2">
      <c r="A87" s="414" t="s">
        <v>457</v>
      </c>
      <c r="B87" s="414"/>
      <c r="C87" s="414"/>
      <c r="D87" s="414"/>
      <c r="E87" s="414"/>
      <c r="F87" s="414"/>
      <c r="G87" s="414"/>
      <c r="H87" s="414"/>
      <c r="I87" s="414" t="s">
        <v>458</v>
      </c>
      <c r="J87" s="414"/>
      <c r="K87" s="414"/>
      <c r="L87" s="414"/>
      <c r="M87" s="414"/>
      <c r="N87" s="414"/>
      <c r="O87" s="414"/>
      <c r="P87" s="414"/>
      <c r="Q87" s="414" t="s">
        <v>459</v>
      </c>
      <c r="R87" s="414"/>
      <c r="S87" s="414"/>
      <c r="T87" s="414"/>
      <c r="U87" s="414"/>
      <c r="V87" s="414"/>
      <c r="W87" s="414"/>
      <c r="X87" s="414"/>
      <c r="Y87" s="414" t="s">
        <v>460</v>
      </c>
      <c r="Z87" s="414"/>
      <c r="AA87" s="414"/>
      <c r="AB87" s="414"/>
      <c r="AC87" s="414"/>
      <c r="AD87" s="414"/>
      <c r="AE87" s="414"/>
      <c r="AF87" s="414"/>
      <c r="AG87" s="414" t="s">
        <v>461</v>
      </c>
      <c r="AH87" s="414"/>
      <c r="AI87" s="414"/>
      <c r="AJ87" s="414"/>
      <c r="AK87" s="414"/>
      <c r="AL87" s="414"/>
      <c r="AM87" s="414"/>
      <c r="AN87" s="414"/>
    </row>
    <row r="88" spans="1:40" ht="18.95" customHeight="1" x14ac:dyDescent="0.2">
      <c r="A88" s="473" t="s">
        <v>463</v>
      </c>
      <c r="B88" s="465"/>
      <c r="C88" s="465"/>
      <c r="D88" s="465"/>
      <c r="E88" s="465"/>
      <c r="F88" s="465"/>
      <c r="G88" s="465"/>
      <c r="H88" s="465"/>
      <c r="I88" s="473" t="s">
        <v>465</v>
      </c>
      <c r="J88" s="465"/>
      <c r="K88" s="465"/>
      <c r="L88" s="465"/>
      <c r="M88" s="465"/>
      <c r="N88" s="465"/>
      <c r="O88" s="465"/>
      <c r="P88" s="465"/>
      <c r="Q88" s="473" t="s">
        <v>467</v>
      </c>
      <c r="R88" s="465"/>
      <c r="S88" s="465"/>
      <c r="T88" s="465"/>
      <c r="U88" s="465"/>
      <c r="V88" s="465"/>
      <c r="W88" s="465"/>
      <c r="X88" s="465"/>
      <c r="Y88" s="473" t="s">
        <v>469</v>
      </c>
      <c r="Z88" s="465"/>
      <c r="AA88" s="465"/>
      <c r="AB88" s="465"/>
      <c r="AC88" s="465"/>
      <c r="AD88" s="465"/>
      <c r="AE88" s="465"/>
      <c r="AF88" s="465"/>
      <c r="AG88" s="473" t="s">
        <v>471</v>
      </c>
      <c r="AH88" s="465"/>
      <c r="AI88" s="465"/>
      <c r="AJ88" s="465"/>
      <c r="AK88" s="465"/>
      <c r="AL88" s="465"/>
      <c r="AM88" s="465"/>
      <c r="AN88" s="465"/>
    </row>
    <row r="89" spans="1:40" ht="18.95" customHeight="1" x14ac:dyDescent="0.2">
      <c r="A89" s="473" t="s">
        <v>462</v>
      </c>
      <c r="B89" s="473"/>
      <c r="C89" s="473"/>
      <c r="D89" s="473"/>
      <c r="E89" s="473"/>
      <c r="F89" s="473"/>
      <c r="G89" s="473"/>
      <c r="H89" s="473"/>
      <c r="I89" s="473" t="s">
        <v>464</v>
      </c>
      <c r="J89" s="473"/>
      <c r="K89" s="473"/>
      <c r="L89" s="473"/>
      <c r="M89" s="473"/>
      <c r="N89" s="473"/>
      <c r="O89" s="473"/>
      <c r="P89" s="473"/>
      <c r="Q89" s="473" t="s">
        <v>466</v>
      </c>
      <c r="R89" s="473"/>
      <c r="S89" s="473"/>
      <c r="T89" s="473"/>
      <c r="U89" s="473"/>
      <c r="V89" s="473"/>
      <c r="W89" s="473"/>
      <c r="X89" s="473"/>
      <c r="Y89" s="473" t="s">
        <v>468</v>
      </c>
      <c r="Z89" s="473"/>
      <c r="AA89" s="473"/>
      <c r="AB89" s="473"/>
      <c r="AC89" s="473"/>
      <c r="AD89" s="473"/>
      <c r="AE89" s="473"/>
      <c r="AF89" s="473"/>
      <c r="AG89" s="473" t="s">
        <v>470</v>
      </c>
      <c r="AH89" s="473"/>
      <c r="AI89" s="473"/>
      <c r="AJ89" s="473"/>
      <c r="AK89" s="473"/>
      <c r="AL89" s="473"/>
      <c r="AM89" s="473"/>
      <c r="AN89" s="473"/>
    </row>
    <row r="90" spans="1:40" ht="18.95" customHeight="1" x14ac:dyDescent="0.2">
      <c r="A90" s="465" t="s">
        <v>189</v>
      </c>
      <c r="B90" s="465"/>
      <c r="C90" s="465"/>
      <c r="D90" s="465"/>
      <c r="E90" s="465"/>
      <c r="F90" s="465"/>
      <c r="G90" s="465"/>
      <c r="H90" s="465"/>
      <c r="I90" s="465" t="s">
        <v>189</v>
      </c>
      <c r="J90" s="465"/>
      <c r="K90" s="465"/>
      <c r="L90" s="465"/>
      <c r="M90" s="465"/>
      <c r="N90" s="465"/>
      <c r="O90" s="465"/>
      <c r="P90" s="465"/>
      <c r="Q90" s="465" t="s">
        <v>189</v>
      </c>
      <c r="R90" s="465"/>
      <c r="S90" s="465"/>
      <c r="T90" s="465"/>
      <c r="U90" s="465"/>
      <c r="V90" s="465"/>
      <c r="W90" s="465"/>
      <c r="X90" s="465"/>
      <c r="Y90" s="465" t="s">
        <v>189</v>
      </c>
      <c r="Z90" s="465"/>
      <c r="AA90" s="465"/>
      <c r="AB90" s="465"/>
      <c r="AC90" s="465"/>
      <c r="AD90" s="465"/>
      <c r="AE90" s="465"/>
      <c r="AF90" s="465"/>
      <c r="AG90" s="465" t="s">
        <v>189</v>
      </c>
      <c r="AH90" s="465"/>
      <c r="AI90" s="465"/>
      <c r="AJ90" s="465"/>
      <c r="AK90" s="465"/>
      <c r="AL90" s="465"/>
      <c r="AM90" s="465"/>
      <c r="AN90" s="465"/>
    </row>
    <row r="91" spans="1:40" ht="18.95" customHeight="1" x14ac:dyDescent="0.2">
      <c r="A91" s="465" t="s">
        <v>190</v>
      </c>
      <c r="B91" s="465"/>
      <c r="C91" s="465"/>
      <c r="D91" s="465"/>
      <c r="E91" s="465"/>
      <c r="F91" s="465"/>
      <c r="G91" s="465"/>
      <c r="H91" s="465"/>
      <c r="I91" s="465" t="s">
        <v>190</v>
      </c>
      <c r="J91" s="465"/>
      <c r="K91" s="465"/>
      <c r="L91" s="465"/>
      <c r="M91" s="465"/>
      <c r="N91" s="465"/>
      <c r="O91" s="465"/>
      <c r="P91" s="465"/>
      <c r="Q91" s="465" t="s">
        <v>190</v>
      </c>
      <c r="R91" s="465"/>
      <c r="S91" s="465"/>
      <c r="T91" s="465"/>
      <c r="U91" s="465"/>
      <c r="V91" s="465"/>
      <c r="W91" s="465"/>
      <c r="X91" s="465"/>
      <c r="Y91" s="465" t="s">
        <v>190</v>
      </c>
      <c r="Z91" s="465"/>
      <c r="AA91" s="465"/>
      <c r="AB91" s="465"/>
      <c r="AC91" s="465"/>
      <c r="AD91" s="465"/>
      <c r="AE91" s="465"/>
      <c r="AF91" s="465"/>
      <c r="AG91" s="465" t="s">
        <v>190</v>
      </c>
      <c r="AH91" s="465"/>
      <c r="AI91" s="465"/>
      <c r="AJ91" s="465"/>
      <c r="AK91" s="465"/>
      <c r="AL91" s="465"/>
      <c r="AM91" s="465"/>
      <c r="AN91" s="465"/>
    </row>
    <row r="92" spans="1:40" ht="18.95" customHeight="1" x14ac:dyDescent="0.2">
      <c r="C92" s="148"/>
      <c r="K92" s="148"/>
      <c r="S92" s="148"/>
      <c r="AA92" s="148"/>
      <c r="AI92" s="148"/>
    </row>
    <row r="93" spans="1:40" ht="18.95" customHeight="1" x14ac:dyDescent="0.2">
      <c r="B93" s="466" t="s">
        <v>174</v>
      </c>
      <c r="C93" s="467"/>
      <c r="D93" s="412" t="s">
        <v>179</v>
      </c>
      <c r="E93" s="412"/>
      <c r="F93" s="412"/>
      <c r="G93" s="412"/>
      <c r="J93" s="466" t="s">
        <v>174</v>
      </c>
      <c r="K93" s="467"/>
      <c r="L93" s="412" t="s">
        <v>179</v>
      </c>
      <c r="M93" s="412"/>
      <c r="N93" s="412"/>
      <c r="O93" s="412"/>
      <c r="R93" s="466" t="s">
        <v>174</v>
      </c>
      <c r="S93" s="467"/>
      <c r="T93" s="412" t="s">
        <v>179</v>
      </c>
      <c r="U93" s="412"/>
      <c r="V93" s="412"/>
      <c r="W93" s="412"/>
      <c r="Z93" s="466" t="s">
        <v>174</v>
      </c>
      <c r="AA93" s="467"/>
      <c r="AB93" s="412" t="s">
        <v>179</v>
      </c>
      <c r="AC93" s="412"/>
      <c r="AD93" s="412"/>
      <c r="AE93" s="412"/>
      <c r="AH93" s="466" t="s">
        <v>174</v>
      </c>
      <c r="AI93" s="467"/>
      <c r="AJ93" s="412" t="s">
        <v>179</v>
      </c>
      <c r="AK93" s="412"/>
      <c r="AL93" s="412"/>
      <c r="AM93" s="412"/>
    </row>
    <row r="94" spans="1:40" ht="18.95" customHeight="1" x14ac:dyDescent="0.2">
      <c r="B94" s="468"/>
      <c r="C94" s="469"/>
      <c r="D94" s="412" t="s">
        <v>177</v>
      </c>
      <c r="E94" s="412"/>
      <c r="F94" s="412" t="s">
        <v>178</v>
      </c>
      <c r="G94" s="412"/>
      <c r="J94" s="468"/>
      <c r="K94" s="469"/>
      <c r="L94" s="412" t="s">
        <v>177</v>
      </c>
      <c r="M94" s="412"/>
      <c r="N94" s="412" t="s">
        <v>178</v>
      </c>
      <c r="O94" s="412"/>
      <c r="R94" s="468"/>
      <c r="S94" s="469"/>
      <c r="T94" s="412" t="s">
        <v>177</v>
      </c>
      <c r="U94" s="412"/>
      <c r="V94" s="412" t="s">
        <v>178</v>
      </c>
      <c r="W94" s="412"/>
      <c r="Z94" s="468"/>
      <c r="AA94" s="469"/>
      <c r="AB94" s="412" t="s">
        <v>177</v>
      </c>
      <c r="AC94" s="412"/>
      <c r="AD94" s="412" t="s">
        <v>178</v>
      </c>
      <c r="AE94" s="412"/>
      <c r="AH94" s="468"/>
      <c r="AI94" s="469"/>
      <c r="AJ94" s="412" t="s">
        <v>177</v>
      </c>
      <c r="AK94" s="412"/>
      <c r="AL94" s="412" t="s">
        <v>178</v>
      </c>
      <c r="AM94" s="412"/>
    </row>
    <row r="95" spans="1:40" ht="18.95" customHeight="1" x14ac:dyDescent="0.2">
      <c r="B95" s="470"/>
      <c r="C95" s="471"/>
      <c r="D95" s="147" t="s">
        <v>175</v>
      </c>
      <c r="E95" s="147" t="s">
        <v>176</v>
      </c>
      <c r="F95" s="147" t="s">
        <v>175</v>
      </c>
      <c r="G95" s="147" t="s">
        <v>176</v>
      </c>
      <c r="J95" s="470"/>
      <c r="K95" s="471"/>
      <c r="L95" s="147" t="s">
        <v>175</v>
      </c>
      <c r="M95" s="147" t="s">
        <v>176</v>
      </c>
      <c r="N95" s="147" t="s">
        <v>175</v>
      </c>
      <c r="O95" s="147" t="s">
        <v>176</v>
      </c>
      <c r="R95" s="470"/>
      <c r="S95" s="471"/>
      <c r="T95" s="147" t="s">
        <v>175</v>
      </c>
      <c r="U95" s="147" t="s">
        <v>176</v>
      </c>
      <c r="V95" s="147" t="s">
        <v>175</v>
      </c>
      <c r="W95" s="147" t="s">
        <v>176</v>
      </c>
      <c r="Z95" s="470"/>
      <c r="AA95" s="471"/>
      <c r="AB95" s="147" t="s">
        <v>175</v>
      </c>
      <c r="AC95" s="147" t="s">
        <v>176</v>
      </c>
      <c r="AD95" s="147" t="s">
        <v>175</v>
      </c>
      <c r="AE95" s="147" t="s">
        <v>176</v>
      </c>
      <c r="AH95" s="470"/>
      <c r="AI95" s="471"/>
      <c r="AJ95" s="147" t="s">
        <v>175</v>
      </c>
      <c r="AK95" s="147" t="s">
        <v>176</v>
      </c>
      <c r="AL95" s="147" t="s">
        <v>175</v>
      </c>
      <c r="AM95" s="147" t="s">
        <v>176</v>
      </c>
    </row>
    <row r="96" spans="1:40" ht="18.95" customHeight="1" x14ac:dyDescent="0.2">
      <c r="B96" s="455" t="s">
        <v>426</v>
      </c>
      <c r="C96" s="456"/>
      <c r="D96" s="41">
        <f>107</f>
        <v>107</v>
      </c>
      <c r="E96" s="41">
        <f>79</f>
        <v>79</v>
      </c>
      <c r="F96" s="41">
        <f t="shared" ref="F96:G100" si="12">D96*100</f>
        <v>10700</v>
      </c>
      <c r="G96" s="41">
        <f t="shared" si="12"/>
        <v>7900</v>
      </c>
      <c r="J96" s="455" t="s">
        <v>426</v>
      </c>
      <c r="K96" s="456"/>
      <c r="L96" s="41">
        <f>82*M103/53</f>
        <v>139.24528301886792</v>
      </c>
      <c r="M96" s="41">
        <f>60*M103/53</f>
        <v>101.88679245283019</v>
      </c>
      <c r="N96" s="41">
        <f>L96*100</f>
        <v>13924.528301886792</v>
      </c>
      <c r="O96" s="41">
        <f>M96*100</f>
        <v>10188.67924528302</v>
      </c>
      <c r="R96" s="455" t="s">
        <v>426</v>
      </c>
      <c r="S96" s="456"/>
      <c r="T96" s="41">
        <f>50*U104/55</f>
        <v>81.818181818181813</v>
      </c>
      <c r="U96" s="41">
        <f>37*U104/55</f>
        <v>60.545454545454547</v>
      </c>
      <c r="V96" s="41">
        <f>T96*100</f>
        <v>8181.8181818181811</v>
      </c>
      <c r="W96" s="41">
        <f>U96*100</f>
        <v>6054.545454545455</v>
      </c>
      <c r="Z96" s="455" t="s">
        <v>426</v>
      </c>
      <c r="AA96" s="456"/>
      <c r="AB96" s="41">
        <f>38*AC105/55</f>
        <v>62.18181818181818</v>
      </c>
      <c r="AC96" s="41">
        <f>28*AC105/55</f>
        <v>45.81818181818182</v>
      </c>
      <c r="AD96" s="41">
        <f>AB96*100</f>
        <v>6218.181818181818</v>
      </c>
      <c r="AE96" s="41">
        <f>AC96*100</f>
        <v>4581.818181818182</v>
      </c>
      <c r="AH96" s="455" t="s">
        <v>426</v>
      </c>
      <c r="AI96" s="456"/>
      <c r="AJ96" s="41">
        <f>24*AK109/46</f>
        <v>46.956521739130437</v>
      </c>
      <c r="AK96" s="41">
        <f>18*AK109/46</f>
        <v>35.217391304347828</v>
      </c>
      <c r="AL96" s="41">
        <f>AJ96*100</f>
        <v>4695.652173913044</v>
      </c>
      <c r="AM96" s="41">
        <f>AK96*100</f>
        <v>3521.739130434783</v>
      </c>
    </row>
    <row r="97" spans="1:40" ht="18.95" customHeight="1" x14ac:dyDescent="0.2">
      <c r="B97" s="455" t="s">
        <v>472</v>
      </c>
      <c r="C97" s="456"/>
      <c r="D97" s="41">
        <f>34*E105/100</f>
        <v>51</v>
      </c>
      <c r="E97" s="41">
        <f>34*E105/100</f>
        <v>51</v>
      </c>
      <c r="F97" s="41">
        <f t="shared" si="12"/>
        <v>5100</v>
      </c>
      <c r="G97" s="41">
        <f t="shared" si="12"/>
        <v>5100</v>
      </c>
      <c r="J97" s="455" t="s">
        <v>475</v>
      </c>
      <c r="K97" s="456"/>
      <c r="L97" s="41">
        <f>9.5*M103/53</f>
        <v>16.132075471698112</v>
      </c>
      <c r="M97" s="41">
        <f>9*M103/53</f>
        <v>15.283018867924529</v>
      </c>
      <c r="N97" s="41">
        <f>L97*100</f>
        <v>1613.2075471698113</v>
      </c>
      <c r="O97" s="41">
        <f t="shared" ref="O97:O102" si="13">M97*100</f>
        <v>1528.3018867924529</v>
      </c>
      <c r="R97" s="455" t="s">
        <v>413</v>
      </c>
      <c r="S97" s="456"/>
      <c r="T97" s="41">
        <f>9*U104/55</f>
        <v>14.727272727272727</v>
      </c>
      <c r="U97" s="41">
        <f>9*U104/55</f>
        <v>14.727272727272727</v>
      </c>
      <c r="V97" s="41">
        <f t="shared" ref="V97:V103" si="14">T97*100</f>
        <v>1472.7272727272727</v>
      </c>
      <c r="W97" s="41">
        <f t="shared" ref="W97:W104" si="15">U97*100</f>
        <v>1472.7272727272727</v>
      </c>
      <c r="Z97" s="455" t="s">
        <v>480</v>
      </c>
      <c r="AA97" s="456"/>
      <c r="AB97" s="41">
        <f>14*AC105/55</f>
        <v>22.90909090909091</v>
      </c>
      <c r="AC97" s="41">
        <f>12*AC105/55</f>
        <v>19.636363636363637</v>
      </c>
      <c r="AD97" s="41">
        <f t="shared" ref="AD97:AD104" si="16">AB97*100</f>
        <v>2290.909090909091</v>
      </c>
      <c r="AE97" s="41">
        <f t="shared" ref="AE97:AE105" si="17">AC97*100</f>
        <v>1963.6363636363637</v>
      </c>
      <c r="AH97" s="455" t="s">
        <v>480</v>
      </c>
      <c r="AI97" s="456"/>
      <c r="AJ97" s="41">
        <f>12*AK109/46</f>
        <v>23.478260869565219</v>
      </c>
      <c r="AK97" s="41">
        <f>10*AK109/46</f>
        <v>19.565217391304348</v>
      </c>
      <c r="AL97" s="41">
        <f t="shared" ref="AL97:AL108" si="18">AJ97*100</f>
        <v>2347.826086956522</v>
      </c>
      <c r="AM97" s="41">
        <f t="shared" ref="AM97:AM109" si="19">AK97*100</f>
        <v>1956.5217391304348</v>
      </c>
    </row>
    <row r="98" spans="1:40" ht="18.95" customHeight="1" x14ac:dyDescent="0.2">
      <c r="B98" s="455" t="s">
        <v>207</v>
      </c>
      <c r="C98" s="456"/>
      <c r="D98" s="41">
        <f>5*E105/100</f>
        <v>7.5</v>
      </c>
      <c r="E98" s="41">
        <f>5*E105/100</f>
        <v>7.5</v>
      </c>
      <c r="F98" s="41">
        <f t="shared" si="12"/>
        <v>750</v>
      </c>
      <c r="G98" s="41">
        <f t="shared" si="12"/>
        <v>750</v>
      </c>
      <c r="J98" s="455" t="s">
        <v>414</v>
      </c>
      <c r="K98" s="456"/>
      <c r="L98" s="41">
        <f>5*M103/53</f>
        <v>8.4905660377358494</v>
      </c>
      <c r="M98" s="41">
        <f>5*M103/53</f>
        <v>8.4905660377358494</v>
      </c>
      <c r="N98" s="41">
        <f>L98*100</f>
        <v>849.05660377358492</v>
      </c>
      <c r="O98" s="41">
        <f t="shared" si="13"/>
        <v>849.05660377358492</v>
      </c>
      <c r="R98" s="455" t="s">
        <v>414</v>
      </c>
      <c r="S98" s="456"/>
      <c r="T98" s="41">
        <f>12*U104/55</f>
        <v>19.636363636363637</v>
      </c>
      <c r="U98" s="41">
        <f>12*U104/55</f>
        <v>19.636363636363637</v>
      </c>
      <c r="V98" s="41">
        <f t="shared" si="14"/>
        <v>1963.6363636363637</v>
      </c>
      <c r="W98" s="41">
        <f t="shared" si="15"/>
        <v>1963.6363636363637</v>
      </c>
      <c r="Z98" s="455" t="s">
        <v>413</v>
      </c>
      <c r="AA98" s="456"/>
      <c r="AB98" s="41">
        <f>8*AC105/55</f>
        <v>13.090909090909092</v>
      </c>
      <c r="AC98" s="41">
        <f>8*AC105/55</f>
        <v>13.090909090909092</v>
      </c>
      <c r="AD98" s="41">
        <f t="shared" si="16"/>
        <v>1309.0909090909092</v>
      </c>
      <c r="AE98" s="41">
        <f t="shared" si="17"/>
        <v>1309.0909090909092</v>
      </c>
      <c r="AH98" s="479" t="s">
        <v>483</v>
      </c>
      <c r="AI98" s="480"/>
      <c r="AJ98" s="41">
        <f>1*AK109/46</f>
        <v>1.9565217391304348</v>
      </c>
      <c r="AK98" s="41">
        <f>1*AK109/46</f>
        <v>1.9565217391304348</v>
      </c>
      <c r="AL98" s="41">
        <f t="shared" si="18"/>
        <v>195.65217391304347</v>
      </c>
      <c r="AM98" s="41">
        <f t="shared" si="19"/>
        <v>195.65217391304347</v>
      </c>
    </row>
    <row r="99" spans="1:40" ht="18.95" customHeight="1" x14ac:dyDescent="0.2">
      <c r="B99" s="455" t="s">
        <v>211</v>
      </c>
      <c r="C99" s="456"/>
      <c r="D99" s="41">
        <f>6*E105/100</f>
        <v>9</v>
      </c>
      <c r="E99" s="41">
        <f>5*E105/100</f>
        <v>7.5</v>
      </c>
      <c r="F99" s="41">
        <f t="shared" si="12"/>
        <v>900</v>
      </c>
      <c r="G99" s="41">
        <f t="shared" si="12"/>
        <v>750</v>
      </c>
      <c r="J99" s="455" t="s">
        <v>476</v>
      </c>
      <c r="K99" s="456"/>
      <c r="L99" s="41">
        <f>0.9*M103/53</f>
        <v>1.5283018867924529</v>
      </c>
      <c r="M99" s="41">
        <f>0.9*M103/53</f>
        <v>1.5283018867924529</v>
      </c>
      <c r="N99" s="41">
        <f>L99*100</f>
        <v>152.83018867924528</v>
      </c>
      <c r="O99" s="41">
        <f t="shared" si="13"/>
        <v>152.83018867924528</v>
      </c>
      <c r="R99" s="455" t="s">
        <v>415</v>
      </c>
      <c r="S99" s="456"/>
      <c r="T99" s="41">
        <f>5*U104/55</f>
        <v>8.1818181818181817</v>
      </c>
      <c r="U99" s="41">
        <f>5*U104/55</f>
        <v>8.1818181818181817</v>
      </c>
      <c r="V99" s="41">
        <f t="shared" si="14"/>
        <v>818.18181818181813</v>
      </c>
      <c r="W99" s="41">
        <f t="shared" si="15"/>
        <v>818.18181818181813</v>
      </c>
      <c r="Z99" s="455" t="s">
        <v>414</v>
      </c>
      <c r="AA99" s="456"/>
      <c r="AB99" s="41">
        <f>10*AC105/55</f>
        <v>16.363636363636363</v>
      </c>
      <c r="AC99" s="41">
        <f>10*AC105/55</f>
        <v>16.363636363636363</v>
      </c>
      <c r="AD99" s="41">
        <f t="shared" si="16"/>
        <v>1636.3636363636363</v>
      </c>
      <c r="AE99" s="41">
        <f t="shared" si="17"/>
        <v>1636.3636363636363</v>
      </c>
      <c r="AH99" s="455" t="s">
        <v>414</v>
      </c>
      <c r="AI99" s="456"/>
      <c r="AJ99" s="41">
        <f>1.2*AK109/46</f>
        <v>2.347826086956522</v>
      </c>
      <c r="AK99" s="41">
        <f>1*AK109/46</f>
        <v>1.9565217391304348</v>
      </c>
      <c r="AL99" s="41">
        <f t="shared" si="18"/>
        <v>234.78260869565219</v>
      </c>
      <c r="AM99" s="41">
        <f t="shared" si="19"/>
        <v>195.65217391304347</v>
      </c>
    </row>
    <row r="100" spans="1:40" ht="18.95" customHeight="1" x14ac:dyDescent="0.2">
      <c r="B100" s="455" t="s">
        <v>246</v>
      </c>
      <c r="C100" s="456"/>
      <c r="D100" s="41">
        <f>6.65*E105/100</f>
        <v>9.9749999999999996</v>
      </c>
      <c r="E100" s="41">
        <f>5*E105/100</f>
        <v>7.5</v>
      </c>
      <c r="F100" s="41">
        <f t="shared" si="12"/>
        <v>997.5</v>
      </c>
      <c r="G100" s="41">
        <f t="shared" si="12"/>
        <v>750</v>
      </c>
      <c r="J100" s="455" t="s">
        <v>416</v>
      </c>
      <c r="K100" s="456"/>
      <c r="L100" s="41"/>
      <c r="M100" s="41">
        <f>75*M103/53</f>
        <v>127.35849056603773</v>
      </c>
      <c r="N100" s="41"/>
      <c r="O100" s="41">
        <f t="shared" si="13"/>
        <v>12735.849056603773</v>
      </c>
      <c r="R100" s="455" t="s">
        <v>416</v>
      </c>
      <c r="S100" s="456"/>
      <c r="T100" s="41"/>
      <c r="U100" s="41">
        <f>62*U104/55</f>
        <v>101.45454545454545</v>
      </c>
      <c r="V100" s="41"/>
      <c r="W100" s="41">
        <f t="shared" si="15"/>
        <v>10145.454545454546</v>
      </c>
      <c r="Z100" s="455" t="s">
        <v>415</v>
      </c>
      <c r="AA100" s="456"/>
      <c r="AB100" s="41">
        <f>5*AC105/55</f>
        <v>8.1818181818181817</v>
      </c>
      <c r="AC100" s="41">
        <f>5*AC105/55</f>
        <v>8.1818181818181817</v>
      </c>
      <c r="AD100" s="41">
        <f t="shared" si="16"/>
        <v>818.18181818181813</v>
      </c>
      <c r="AE100" s="41">
        <f t="shared" si="17"/>
        <v>818.18181818181813</v>
      </c>
      <c r="AH100" s="455" t="s">
        <v>415</v>
      </c>
      <c r="AI100" s="456"/>
      <c r="AJ100" s="41">
        <f>2*AK109/46</f>
        <v>3.9130434782608696</v>
      </c>
      <c r="AK100" s="41">
        <f>2*AK109/46</f>
        <v>3.9130434782608696</v>
      </c>
      <c r="AL100" s="41">
        <f t="shared" si="18"/>
        <v>391.30434782608694</v>
      </c>
      <c r="AM100" s="41">
        <f t="shared" si="19"/>
        <v>391.30434782608694</v>
      </c>
    </row>
    <row r="101" spans="1:40" ht="18.95" customHeight="1" x14ac:dyDescent="0.2">
      <c r="B101" s="455" t="s">
        <v>975</v>
      </c>
      <c r="C101" s="456"/>
      <c r="D101" s="41"/>
      <c r="E101" s="41">
        <f>0.32</f>
        <v>0.32</v>
      </c>
      <c r="F101" s="41"/>
      <c r="G101" s="41">
        <f t="shared" ref="G101:G106" si="20">E101*100</f>
        <v>32</v>
      </c>
      <c r="J101" s="455" t="s">
        <v>207</v>
      </c>
      <c r="K101" s="456"/>
      <c r="L101" s="41">
        <f>5*M103/53</f>
        <v>8.4905660377358494</v>
      </c>
      <c r="M101" s="41">
        <f>5*M103/53</f>
        <v>8.4905660377358494</v>
      </c>
      <c r="N101" s="41">
        <f>L101*100</f>
        <v>849.05660377358492</v>
      </c>
      <c r="O101" s="41">
        <f t="shared" si="13"/>
        <v>849.05660377358492</v>
      </c>
      <c r="R101" s="455" t="s">
        <v>207</v>
      </c>
      <c r="S101" s="456"/>
      <c r="T101" s="41">
        <f>3*U104/55</f>
        <v>4.9090909090909092</v>
      </c>
      <c r="U101" s="41">
        <f>3*U104/55</f>
        <v>4.9090909090909092</v>
      </c>
      <c r="V101" s="41">
        <f t="shared" si="14"/>
        <v>490.90909090909093</v>
      </c>
      <c r="W101" s="41">
        <f t="shared" si="15"/>
        <v>490.90909090909093</v>
      </c>
      <c r="Z101" s="455" t="s">
        <v>416</v>
      </c>
      <c r="AA101" s="456"/>
      <c r="AB101" s="41"/>
      <c r="AC101" s="41">
        <f>62*AC105/55</f>
        <v>101.45454545454545</v>
      </c>
      <c r="AD101" s="41"/>
      <c r="AE101" s="41">
        <f t="shared" si="17"/>
        <v>10145.454545454546</v>
      </c>
      <c r="AH101" s="455" t="s">
        <v>274</v>
      </c>
      <c r="AI101" s="456"/>
      <c r="AJ101" s="41" t="s">
        <v>890</v>
      </c>
      <c r="AK101" s="41">
        <f>0.5*AK109/46</f>
        <v>0.97826086956521741</v>
      </c>
      <c r="AL101" s="41" t="s">
        <v>883</v>
      </c>
      <c r="AM101" s="41">
        <f t="shared" si="19"/>
        <v>97.826086956521735</v>
      </c>
    </row>
    <row r="102" spans="1:40" ht="18.95" customHeight="1" x14ac:dyDescent="0.2">
      <c r="B102" s="455" t="s">
        <v>476</v>
      </c>
      <c r="C102" s="456"/>
      <c r="D102" s="41"/>
      <c r="E102" s="41">
        <v>4</v>
      </c>
      <c r="F102" s="41"/>
      <c r="G102" s="41">
        <f t="shared" si="20"/>
        <v>400</v>
      </c>
      <c r="J102" s="488" t="s">
        <v>477</v>
      </c>
      <c r="K102" s="489"/>
      <c r="L102" s="41"/>
      <c r="M102" s="41">
        <f>53*M103/53</f>
        <v>90</v>
      </c>
      <c r="N102" s="41"/>
      <c r="O102" s="41">
        <f t="shared" si="13"/>
        <v>9000</v>
      </c>
      <c r="R102" s="455" t="s">
        <v>417</v>
      </c>
      <c r="S102" s="456"/>
      <c r="T102" s="41"/>
      <c r="U102" s="41">
        <v>90</v>
      </c>
      <c r="V102" s="41"/>
      <c r="W102" s="41">
        <f t="shared" si="15"/>
        <v>9000</v>
      </c>
      <c r="Z102" s="463" t="s">
        <v>481</v>
      </c>
      <c r="AA102" s="464"/>
      <c r="AB102" s="41"/>
      <c r="AC102" s="41">
        <f>50*AC105/55</f>
        <v>81.818181818181813</v>
      </c>
      <c r="AD102" s="41"/>
      <c r="AE102" s="41">
        <f t="shared" si="17"/>
        <v>8181.8181818181811</v>
      </c>
      <c r="AH102" s="455" t="s">
        <v>413</v>
      </c>
      <c r="AI102" s="456"/>
      <c r="AJ102" s="41">
        <f>6.5*AK109/46</f>
        <v>12.717391304347826</v>
      </c>
      <c r="AK102" s="41">
        <f>6.5*AK109/46</f>
        <v>12.717391304347826</v>
      </c>
      <c r="AL102" s="41">
        <f t="shared" si="18"/>
        <v>1271.7391304347825</v>
      </c>
      <c r="AM102" s="41">
        <f t="shared" si="19"/>
        <v>1271.7391304347825</v>
      </c>
    </row>
    <row r="103" spans="1:40" ht="18.95" customHeight="1" x14ac:dyDescent="0.2">
      <c r="B103" s="455" t="s">
        <v>640</v>
      </c>
      <c r="C103" s="456"/>
      <c r="D103" s="41"/>
      <c r="E103" s="41">
        <v>0.02</v>
      </c>
      <c r="F103" s="41"/>
      <c r="G103" s="41">
        <f t="shared" si="20"/>
        <v>2</v>
      </c>
      <c r="J103" s="457" t="s">
        <v>180</v>
      </c>
      <c r="K103" s="458"/>
      <c r="L103" s="118"/>
      <c r="M103" s="106">
        <f>мясо!B27</f>
        <v>90</v>
      </c>
      <c r="N103" s="106"/>
      <c r="O103" s="106">
        <f>M103*100</f>
        <v>9000</v>
      </c>
      <c r="R103" s="455" t="s">
        <v>191</v>
      </c>
      <c r="S103" s="456"/>
      <c r="T103" s="41">
        <v>10</v>
      </c>
      <c r="U103" s="41">
        <v>10</v>
      </c>
      <c r="V103" s="41">
        <f t="shared" si="14"/>
        <v>1000</v>
      </c>
      <c r="W103" s="41">
        <f t="shared" si="15"/>
        <v>1000</v>
      </c>
      <c r="Z103" s="455" t="s">
        <v>207</v>
      </c>
      <c r="AA103" s="456"/>
      <c r="AB103" s="41">
        <f>2*AC105/55</f>
        <v>3.2727272727272729</v>
      </c>
      <c r="AC103" s="41">
        <f>2*AC105/55</f>
        <v>3.2727272727272729</v>
      </c>
      <c r="AD103" s="41">
        <f t="shared" si="16"/>
        <v>327.27272727272731</v>
      </c>
      <c r="AE103" s="41">
        <f t="shared" si="17"/>
        <v>327.27272727272731</v>
      </c>
      <c r="AH103" s="455" t="s">
        <v>484</v>
      </c>
      <c r="AI103" s="456"/>
      <c r="AJ103" s="41">
        <f>10*AK109/46</f>
        <v>19.565217391304348</v>
      </c>
      <c r="AK103" s="41">
        <f>10*AK109/46</f>
        <v>19.565217391304348</v>
      </c>
      <c r="AL103" s="41">
        <f t="shared" si="18"/>
        <v>1956.5217391304348</v>
      </c>
      <c r="AM103" s="41">
        <f t="shared" si="19"/>
        <v>1956.5217391304348</v>
      </c>
    </row>
    <row r="104" spans="1:40" ht="18.95" customHeight="1" x14ac:dyDescent="0.2">
      <c r="B104" s="455" t="s">
        <v>448</v>
      </c>
      <c r="C104" s="456"/>
      <c r="D104" s="41"/>
      <c r="E104" s="41">
        <v>50</v>
      </c>
      <c r="F104" s="41"/>
      <c r="G104" s="41">
        <f t="shared" si="20"/>
        <v>5000</v>
      </c>
      <c r="R104" s="498" t="s">
        <v>180</v>
      </c>
      <c r="S104" s="499"/>
      <c r="T104" s="118" t="s">
        <v>1011</v>
      </c>
      <c r="U104" s="106">
        <f>мясо!B29</f>
        <v>90</v>
      </c>
      <c r="V104" s="106"/>
      <c r="W104" s="106">
        <f t="shared" si="15"/>
        <v>9000</v>
      </c>
      <c r="Z104" s="123" t="s">
        <v>482</v>
      </c>
      <c r="AA104" s="124"/>
      <c r="AB104" s="41">
        <f>5*AC105/55</f>
        <v>8.1818181818181817</v>
      </c>
      <c r="AC104" s="41">
        <f>5*AC105/55</f>
        <v>8.1818181818181817</v>
      </c>
      <c r="AD104" s="41">
        <f t="shared" si="16"/>
        <v>818.18181818181813</v>
      </c>
      <c r="AE104" s="41">
        <f t="shared" si="17"/>
        <v>818.18181818181813</v>
      </c>
      <c r="AH104" s="455" t="s">
        <v>476</v>
      </c>
      <c r="AI104" s="456"/>
      <c r="AJ104" s="41">
        <f>0.7*AK109/46</f>
        <v>1.3695652173913042</v>
      </c>
      <c r="AK104" s="41">
        <f>0.7*AK109/46</f>
        <v>1.3695652173913042</v>
      </c>
      <c r="AL104" s="41">
        <f t="shared" si="18"/>
        <v>136.95652173913041</v>
      </c>
      <c r="AM104" s="41">
        <f t="shared" si="19"/>
        <v>136.95652173913041</v>
      </c>
    </row>
    <row r="105" spans="1:40" ht="18.95" customHeight="1" x14ac:dyDescent="0.2">
      <c r="B105" s="455" t="s">
        <v>473</v>
      </c>
      <c r="C105" s="456"/>
      <c r="D105" s="41"/>
      <c r="E105" s="41">
        <v>150</v>
      </c>
      <c r="F105" s="41"/>
      <c r="G105" s="41">
        <f t="shared" si="20"/>
        <v>15000</v>
      </c>
      <c r="I105" s="459" t="s">
        <v>181</v>
      </c>
      <c r="J105" s="459"/>
      <c r="K105" s="459"/>
      <c r="L105" s="459"/>
      <c r="M105" s="459"/>
      <c r="N105" s="459"/>
      <c r="O105" s="459"/>
      <c r="P105" s="459"/>
      <c r="Z105" s="498" t="s">
        <v>180</v>
      </c>
      <c r="AA105" s="499"/>
      <c r="AB105" s="118"/>
      <c r="AC105" s="106">
        <f>мясо!B31</f>
        <v>90</v>
      </c>
      <c r="AD105" s="106"/>
      <c r="AE105" s="106">
        <f t="shared" si="17"/>
        <v>9000</v>
      </c>
      <c r="AH105" s="455" t="s">
        <v>485</v>
      </c>
      <c r="AI105" s="456"/>
      <c r="AJ105" s="41"/>
      <c r="AK105" s="41">
        <f>50*AK109/46</f>
        <v>97.826086956521735</v>
      </c>
      <c r="AL105" s="41"/>
      <c r="AM105" s="41">
        <f t="shared" si="19"/>
        <v>9782.608695652174</v>
      </c>
    </row>
    <row r="106" spans="1:40" ht="18.95" customHeight="1" x14ac:dyDescent="0.2">
      <c r="B106" s="457" t="s">
        <v>180</v>
      </c>
      <c r="C106" s="458"/>
      <c r="D106" s="41"/>
      <c r="E106" s="41">
        <f>мясо!B25</f>
        <v>200</v>
      </c>
      <c r="F106" s="41"/>
      <c r="G106" s="41">
        <f t="shared" si="20"/>
        <v>20000</v>
      </c>
      <c r="I106" s="106" t="s">
        <v>182</v>
      </c>
      <c r="J106" s="228" t="s">
        <v>106</v>
      </c>
      <c r="K106" s="229" t="s">
        <v>107</v>
      </c>
      <c r="L106" s="230" t="s">
        <v>187</v>
      </c>
      <c r="M106" s="228" t="s">
        <v>183</v>
      </c>
      <c r="N106" s="228" t="s">
        <v>184</v>
      </c>
      <c r="O106" s="228" t="s">
        <v>185</v>
      </c>
      <c r="P106" s="235" t="s">
        <v>186</v>
      </c>
      <c r="Q106" s="460" t="s">
        <v>181</v>
      </c>
      <c r="R106" s="459"/>
      <c r="S106" s="459"/>
      <c r="T106" s="459"/>
      <c r="U106" s="459"/>
      <c r="V106" s="459"/>
      <c r="W106" s="459"/>
      <c r="X106" s="459"/>
      <c r="AH106" s="455" t="s">
        <v>207</v>
      </c>
      <c r="AI106" s="456"/>
      <c r="AJ106" s="41">
        <f>2*AK109/46</f>
        <v>3.9130434782608696</v>
      </c>
      <c r="AK106" s="41">
        <f>2*AK109/46</f>
        <v>3.9130434782608696</v>
      </c>
      <c r="AL106" s="41">
        <f t="shared" si="18"/>
        <v>391.30434782608694</v>
      </c>
      <c r="AM106" s="41">
        <f t="shared" si="19"/>
        <v>391.30434782608694</v>
      </c>
    </row>
    <row r="107" spans="1:40" ht="18.95" customHeight="1" x14ac:dyDescent="0.2">
      <c r="I107" s="41">
        <f>мясо!E27</f>
        <v>17.473584905660374</v>
      </c>
      <c r="J107" s="41">
        <f>мясо!F27</f>
        <v>21.481132075471699</v>
      </c>
      <c r="K107" s="41">
        <f>мясо!G27</f>
        <v>0.40754716981132072</v>
      </c>
      <c r="L107" s="41">
        <f>мясо!H27</f>
        <v>264.90566037735852</v>
      </c>
      <c r="M107" s="41">
        <f>мясо!M27</f>
        <v>20.479245283018869</v>
      </c>
      <c r="N107" s="41">
        <f>мясо!O27</f>
        <v>18.900000000000002</v>
      </c>
      <c r="O107" s="41">
        <f>мясо!P27</f>
        <v>2.530188679245283</v>
      </c>
      <c r="P107" s="41">
        <f>мясо!J27</f>
        <v>0.1188679245283019</v>
      </c>
      <c r="Q107" s="147" t="s">
        <v>182</v>
      </c>
      <c r="R107" s="147" t="s">
        <v>106</v>
      </c>
      <c r="S107" s="115" t="s">
        <v>107</v>
      </c>
      <c r="T107" s="116" t="s">
        <v>187</v>
      </c>
      <c r="U107" s="147" t="s">
        <v>183</v>
      </c>
      <c r="V107" s="147" t="s">
        <v>184</v>
      </c>
      <c r="W107" s="147" t="s">
        <v>185</v>
      </c>
      <c r="X107" s="149" t="s">
        <v>186</v>
      </c>
      <c r="Y107" s="500" t="s">
        <v>181</v>
      </c>
      <c r="Z107" s="501"/>
      <c r="AA107" s="501"/>
      <c r="AB107" s="501"/>
      <c r="AC107" s="501"/>
      <c r="AD107" s="501"/>
      <c r="AE107" s="501"/>
      <c r="AF107" s="501"/>
      <c r="AH107" s="455" t="s">
        <v>486</v>
      </c>
      <c r="AI107" s="456"/>
      <c r="AJ107" s="41"/>
      <c r="AK107" s="41">
        <v>90</v>
      </c>
      <c r="AL107" s="41"/>
      <c r="AM107" s="41">
        <v>90</v>
      </c>
    </row>
    <row r="108" spans="1:40" ht="18.95" customHeight="1" x14ac:dyDescent="0.2">
      <c r="A108" s="459" t="s">
        <v>181</v>
      </c>
      <c r="B108" s="459"/>
      <c r="C108" s="459"/>
      <c r="D108" s="459"/>
      <c r="E108" s="459"/>
      <c r="F108" s="459"/>
      <c r="G108" s="459"/>
      <c r="H108" s="461"/>
      <c r="Q108" s="41">
        <f>мясо!E29</f>
        <v>8.4262499999999996</v>
      </c>
      <c r="R108" s="41">
        <f>мясо!F29</f>
        <v>10.338749999999999</v>
      </c>
      <c r="S108" s="41">
        <f>мясо!G29</f>
        <v>9.27</v>
      </c>
      <c r="T108" s="41">
        <f>мясо!H29</f>
        <v>165.375</v>
      </c>
      <c r="U108" s="41">
        <f>мясо!M29</f>
        <v>15.074999999999999</v>
      </c>
      <c r="V108" s="41">
        <f>мясо!O29</f>
        <v>18.989999999999998</v>
      </c>
      <c r="W108" s="41">
        <f>мясо!P29</f>
        <v>1.5749999999999997</v>
      </c>
      <c r="X108" s="41">
        <f>мясо!J29</f>
        <v>1.125E-2</v>
      </c>
      <c r="Y108" s="147" t="s">
        <v>182</v>
      </c>
      <c r="Z108" s="147" t="s">
        <v>106</v>
      </c>
      <c r="AA108" s="115" t="s">
        <v>107</v>
      </c>
      <c r="AB108" s="116" t="s">
        <v>187</v>
      </c>
      <c r="AC108" s="147" t="s">
        <v>183</v>
      </c>
      <c r="AD108" s="147" t="s">
        <v>184</v>
      </c>
      <c r="AE108" s="147" t="s">
        <v>185</v>
      </c>
      <c r="AF108" s="200" t="s">
        <v>186</v>
      </c>
      <c r="AH108" s="455" t="s">
        <v>191</v>
      </c>
      <c r="AI108" s="456"/>
      <c r="AJ108" s="41">
        <v>10</v>
      </c>
      <c r="AK108" s="41">
        <v>10</v>
      </c>
      <c r="AL108" s="41">
        <f t="shared" si="18"/>
        <v>1000</v>
      </c>
      <c r="AM108" s="41">
        <f t="shared" si="19"/>
        <v>1000</v>
      </c>
    </row>
    <row r="109" spans="1:40" ht="18.95" customHeight="1" x14ac:dyDescent="0.2">
      <c r="A109" s="106" t="s">
        <v>182</v>
      </c>
      <c r="B109" s="228" t="s">
        <v>106</v>
      </c>
      <c r="C109" s="229" t="s">
        <v>107</v>
      </c>
      <c r="D109" s="230" t="s">
        <v>187</v>
      </c>
      <c r="E109" s="228" t="s">
        <v>183</v>
      </c>
      <c r="F109" s="228" t="s">
        <v>184</v>
      </c>
      <c r="G109" s="228" t="s">
        <v>185</v>
      </c>
      <c r="H109" s="235" t="s">
        <v>186</v>
      </c>
      <c r="I109" s="487" t="s">
        <v>478</v>
      </c>
      <c r="J109" s="487"/>
      <c r="K109" s="487"/>
      <c r="L109" s="487"/>
      <c r="M109" s="487"/>
      <c r="N109" s="487"/>
      <c r="O109" s="487"/>
      <c r="P109" s="487"/>
      <c r="Y109" s="41">
        <f>мясо!E31</f>
        <v>9.9</v>
      </c>
      <c r="Z109" s="41">
        <f>мясо!F31</f>
        <v>7.1</v>
      </c>
      <c r="AA109" s="41">
        <f>мясо!G31</f>
        <v>22.6</v>
      </c>
      <c r="AB109" s="41">
        <f>мясо!H31</f>
        <v>264.11</v>
      </c>
      <c r="AC109" s="41">
        <f>мясо!M31</f>
        <v>26.42625</v>
      </c>
      <c r="AD109" s="41">
        <f>мясо!O31</f>
        <v>21.037500000000001</v>
      </c>
      <c r="AE109" s="41">
        <f>мясо!P31</f>
        <v>1.53</v>
      </c>
      <c r="AF109" s="41">
        <f>мясо!J31</f>
        <v>0.15750000000000003</v>
      </c>
      <c r="AH109" s="498" t="s">
        <v>180</v>
      </c>
      <c r="AI109" s="499"/>
      <c r="AJ109" s="118" t="s">
        <v>1011</v>
      </c>
      <c r="AK109" s="106">
        <f>мясо!B33</f>
        <v>90</v>
      </c>
      <c r="AL109" s="106"/>
      <c r="AM109" s="106">
        <f t="shared" si="19"/>
        <v>9000</v>
      </c>
    </row>
    <row r="110" spans="1:40" ht="18.95" customHeight="1" x14ac:dyDescent="0.2">
      <c r="A110" s="41">
        <f>мясо!E25</f>
        <v>21.986666666666665</v>
      </c>
      <c r="B110" s="41">
        <f>мясо!F25</f>
        <v>22.52</v>
      </c>
      <c r="C110" s="41">
        <f>мясо!G25</f>
        <v>34.693333333333335</v>
      </c>
      <c r="D110" s="41">
        <f>мясо!H25</f>
        <v>429.33333333333331</v>
      </c>
      <c r="E110" s="41">
        <f>мясо!M25</f>
        <v>18.973333333333333</v>
      </c>
      <c r="F110" s="41">
        <f>мясо!O25</f>
        <v>52.386666666666663</v>
      </c>
      <c r="G110" s="41">
        <f>мясо!P25</f>
        <v>3.5333333333333332</v>
      </c>
      <c r="H110" s="41">
        <f>мясо!J25</f>
        <v>1.7066666666666668</v>
      </c>
      <c r="I110" s="487"/>
      <c r="J110" s="487"/>
      <c r="K110" s="487"/>
      <c r="L110" s="487"/>
      <c r="M110" s="487"/>
      <c r="N110" s="487"/>
      <c r="O110" s="487"/>
      <c r="P110" s="487"/>
      <c r="Q110" s="462" t="s">
        <v>479</v>
      </c>
      <c r="R110" s="462"/>
      <c r="S110" s="462"/>
      <c r="T110" s="462"/>
      <c r="U110" s="462"/>
      <c r="V110" s="462"/>
      <c r="W110" s="462"/>
      <c r="X110" s="462"/>
    </row>
    <row r="111" spans="1:40" ht="18.95" customHeight="1" x14ac:dyDescent="0.2">
      <c r="I111" s="487"/>
      <c r="J111" s="487"/>
      <c r="K111" s="487"/>
      <c r="L111" s="487"/>
      <c r="M111" s="487"/>
      <c r="N111" s="487"/>
      <c r="O111" s="487"/>
      <c r="P111" s="487"/>
      <c r="Q111" s="462"/>
      <c r="R111" s="462"/>
      <c r="S111" s="462"/>
      <c r="T111" s="462"/>
      <c r="U111" s="462"/>
      <c r="V111" s="462"/>
      <c r="W111" s="462"/>
      <c r="X111" s="462"/>
      <c r="Y111" s="483" t="s">
        <v>479</v>
      </c>
      <c r="Z111" s="483"/>
      <c r="AA111" s="483"/>
      <c r="AB111" s="483"/>
      <c r="AC111" s="483"/>
      <c r="AD111" s="483"/>
      <c r="AE111" s="483"/>
      <c r="AF111" s="483"/>
      <c r="AG111" s="459" t="s">
        <v>181</v>
      </c>
      <c r="AH111" s="459"/>
      <c r="AI111" s="459"/>
      <c r="AJ111" s="459"/>
      <c r="AK111" s="459"/>
      <c r="AL111" s="459"/>
      <c r="AM111" s="459"/>
      <c r="AN111" s="459"/>
    </row>
    <row r="112" spans="1:40" ht="18.95" customHeight="1" x14ac:dyDescent="0.2">
      <c r="A112" s="487" t="s">
        <v>474</v>
      </c>
      <c r="B112" s="487"/>
      <c r="C112" s="487"/>
      <c r="D112" s="487"/>
      <c r="E112" s="487"/>
      <c r="F112" s="487"/>
      <c r="G112" s="487"/>
      <c r="H112" s="487"/>
      <c r="I112" s="119"/>
      <c r="J112" s="119"/>
      <c r="K112" s="119"/>
      <c r="L112" s="119"/>
      <c r="M112" s="119"/>
      <c r="N112" s="119"/>
      <c r="O112" s="119"/>
      <c r="P112" s="119"/>
      <c r="Q112" s="462"/>
      <c r="R112" s="462"/>
      <c r="S112" s="462"/>
      <c r="T112" s="462"/>
      <c r="U112" s="462"/>
      <c r="V112" s="462"/>
      <c r="W112" s="462"/>
      <c r="X112" s="462"/>
      <c r="Y112" s="483"/>
      <c r="Z112" s="483"/>
      <c r="AA112" s="483"/>
      <c r="AB112" s="483"/>
      <c r="AC112" s="483"/>
      <c r="AD112" s="483"/>
      <c r="AE112" s="483"/>
      <c r="AF112" s="483"/>
      <c r="AG112" s="200" t="s">
        <v>182</v>
      </c>
      <c r="AH112" s="147" t="s">
        <v>106</v>
      </c>
      <c r="AI112" s="115" t="s">
        <v>107</v>
      </c>
      <c r="AJ112" s="116" t="s">
        <v>187</v>
      </c>
      <c r="AK112" s="147" t="s">
        <v>183</v>
      </c>
      <c r="AL112" s="147" t="s">
        <v>184</v>
      </c>
      <c r="AM112" s="147" t="s">
        <v>185</v>
      </c>
      <c r="AN112" s="200" t="s">
        <v>186</v>
      </c>
    </row>
    <row r="113" spans="1:40" ht="18.95" customHeight="1" x14ac:dyDescent="0.2">
      <c r="A113" s="487"/>
      <c r="B113" s="487"/>
      <c r="C113" s="487"/>
      <c r="D113" s="487"/>
      <c r="E113" s="487"/>
      <c r="F113" s="487"/>
      <c r="G113" s="487"/>
      <c r="H113" s="487"/>
      <c r="I113" s="454" t="s">
        <v>232</v>
      </c>
      <c r="J113" s="454"/>
      <c r="K113" s="454"/>
      <c r="Q113" s="462"/>
      <c r="R113" s="462"/>
      <c r="S113" s="462"/>
      <c r="T113" s="462"/>
      <c r="U113" s="462"/>
      <c r="V113" s="462"/>
      <c r="W113" s="462"/>
      <c r="X113" s="462"/>
      <c r="Y113" s="483"/>
      <c r="Z113" s="483"/>
      <c r="AA113" s="483"/>
      <c r="AB113" s="483"/>
      <c r="AC113" s="483"/>
      <c r="AD113" s="483"/>
      <c r="AE113" s="483"/>
      <c r="AF113" s="483"/>
      <c r="AG113" s="41">
        <f>мясо!E33</f>
        <v>6.09</v>
      </c>
      <c r="AH113" s="41">
        <f>мясо!F33</f>
        <v>5.9</v>
      </c>
      <c r="AI113" s="41">
        <f>мясо!G33</f>
        <v>15</v>
      </c>
      <c r="AJ113" s="41">
        <f>мясо!H33</f>
        <v>217.92</v>
      </c>
      <c r="AK113" s="41">
        <f>мясо!M33</f>
        <v>19.115492957746479</v>
      </c>
      <c r="AL113" s="41">
        <f>мясо!O33</f>
        <v>12.422535211267608</v>
      </c>
      <c r="AM113" s="41">
        <f>мясо!P33</f>
        <v>1.1788732394366197</v>
      </c>
      <c r="AN113" s="41">
        <f>мясо!J33</f>
        <v>0.13943661971830987</v>
      </c>
    </row>
    <row r="114" spans="1:40" ht="18.95" customHeight="1" x14ac:dyDescent="0.2">
      <c r="A114" s="487"/>
      <c r="B114" s="487"/>
      <c r="C114" s="487"/>
      <c r="D114" s="487"/>
      <c r="E114" s="487"/>
      <c r="F114" s="487"/>
      <c r="G114" s="487"/>
      <c r="H114" s="487"/>
      <c r="Q114" s="462"/>
      <c r="R114" s="462"/>
      <c r="S114" s="462"/>
      <c r="T114" s="462"/>
      <c r="U114" s="462"/>
      <c r="V114" s="462"/>
      <c r="W114" s="462"/>
      <c r="X114" s="462"/>
      <c r="Y114" s="483"/>
      <c r="Z114" s="483"/>
      <c r="AA114" s="483"/>
      <c r="AB114" s="483"/>
      <c r="AC114" s="483"/>
      <c r="AD114" s="483"/>
      <c r="AE114" s="483"/>
      <c r="AF114" s="483"/>
    </row>
    <row r="115" spans="1:40" ht="18.95" customHeight="1" x14ac:dyDescent="0.2">
      <c r="A115" s="487"/>
      <c r="B115" s="487"/>
      <c r="C115" s="487"/>
      <c r="D115" s="487"/>
      <c r="E115" s="487"/>
      <c r="F115" s="487"/>
      <c r="G115" s="487"/>
      <c r="H115" s="487"/>
      <c r="Q115" s="462"/>
      <c r="R115" s="462"/>
      <c r="S115" s="462"/>
      <c r="T115" s="462"/>
      <c r="U115" s="462"/>
      <c r="V115" s="462"/>
      <c r="W115" s="462"/>
      <c r="X115" s="462"/>
      <c r="Y115" s="483"/>
      <c r="Z115" s="483"/>
      <c r="AA115" s="483"/>
      <c r="AB115" s="483"/>
      <c r="AC115" s="483"/>
      <c r="AD115" s="483"/>
      <c r="AE115" s="483"/>
      <c r="AF115" s="483"/>
      <c r="AG115" s="462" t="s">
        <v>479</v>
      </c>
      <c r="AH115" s="462"/>
      <c r="AI115" s="462"/>
      <c r="AJ115" s="462"/>
      <c r="AK115" s="462"/>
      <c r="AL115" s="462"/>
      <c r="AM115" s="462"/>
      <c r="AN115" s="462"/>
    </row>
    <row r="116" spans="1:40" ht="18.95" customHeight="1" x14ac:dyDescent="0.2">
      <c r="A116" s="125"/>
      <c r="Q116" s="125"/>
      <c r="Y116" s="483"/>
      <c r="Z116" s="483"/>
      <c r="AA116" s="483"/>
      <c r="AB116" s="483"/>
      <c r="AC116" s="483"/>
      <c r="AD116" s="483"/>
      <c r="AE116" s="483"/>
      <c r="AF116" s="483"/>
      <c r="AG116" s="462"/>
      <c r="AH116" s="462"/>
      <c r="AI116" s="462"/>
      <c r="AJ116" s="462"/>
      <c r="AK116" s="462"/>
      <c r="AL116" s="462"/>
      <c r="AM116" s="462"/>
      <c r="AN116" s="462"/>
    </row>
    <row r="117" spans="1:40" ht="18.95" customHeight="1" x14ac:dyDescent="0.2">
      <c r="A117" s="454" t="s">
        <v>232</v>
      </c>
      <c r="B117" s="454"/>
      <c r="C117" s="454"/>
      <c r="Q117" s="454" t="s">
        <v>232</v>
      </c>
      <c r="R117" s="454"/>
      <c r="S117" s="454"/>
      <c r="Y117" s="125"/>
      <c r="AG117" s="462"/>
      <c r="AH117" s="462"/>
      <c r="AI117" s="462"/>
      <c r="AJ117" s="462"/>
      <c r="AK117" s="462"/>
      <c r="AL117" s="462"/>
      <c r="AM117" s="462"/>
      <c r="AN117" s="462"/>
    </row>
    <row r="118" spans="1:40" ht="18.95" customHeight="1" x14ac:dyDescent="0.2">
      <c r="Q118" s="125"/>
      <c r="Y118" s="125" t="s">
        <v>232</v>
      </c>
      <c r="Z118" s="125"/>
      <c r="AA118" s="125"/>
      <c r="AG118" s="462"/>
      <c r="AH118" s="462"/>
      <c r="AI118" s="462"/>
      <c r="AJ118" s="462"/>
      <c r="AK118" s="462"/>
      <c r="AL118" s="462"/>
      <c r="AM118" s="462"/>
      <c r="AN118" s="462"/>
    </row>
    <row r="119" spans="1:40" ht="18.95" customHeight="1" x14ac:dyDescent="0.2">
      <c r="Q119" s="125"/>
      <c r="AG119" s="462"/>
      <c r="AH119" s="462"/>
      <c r="AI119" s="462"/>
      <c r="AJ119" s="462"/>
      <c r="AK119" s="462"/>
      <c r="AL119" s="462"/>
      <c r="AM119" s="462"/>
      <c r="AN119" s="462"/>
    </row>
    <row r="120" spans="1:40" ht="18.95" customHeight="1" x14ac:dyDescent="0.2">
      <c r="Q120" s="125"/>
      <c r="AG120" s="462"/>
      <c r="AH120" s="462"/>
      <c r="AI120" s="462"/>
      <c r="AJ120" s="462"/>
      <c r="AK120" s="462"/>
      <c r="AL120" s="462"/>
      <c r="AM120" s="462"/>
      <c r="AN120" s="462"/>
    </row>
    <row r="121" spans="1:40" ht="18.95" customHeight="1" x14ac:dyDescent="0.2">
      <c r="AG121" s="125"/>
    </row>
    <row r="122" spans="1:40" ht="18.95" customHeight="1" x14ac:dyDescent="0.2">
      <c r="AG122" s="454" t="s">
        <v>232</v>
      </c>
      <c r="AH122" s="454"/>
      <c r="AI122" s="454"/>
    </row>
    <row r="123" spans="1:40" ht="18.95" customHeight="1" x14ac:dyDescent="0.2"/>
    <row r="124" spans="1:40" ht="18.95" customHeight="1" x14ac:dyDescent="0.2"/>
    <row r="125" spans="1:40" s="168" customFormat="1" x14ac:dyDescent="0.2">
      <c r="A125" s="472" t="s">
        <v>214</v>
      </c>
      <c r="B125" s="472"/>
      <c r="F125" s="472" t="s">
        <v>215</v>
      </c>
      <c r="G125" s="472"/>
      <c r="H125" s="472"/>
      <c r="I125" s="472" t="s">
        <v>214</v>
      </c>
      <c r="J125" s="472"/>
      <c r="N125" s="472" t="s">
        <v>215</v>
      </c>
      <c r="O125" s="472"/>
      <c r="P125" s="472"/>
      <c r="Q125" s="472" t="s">
        <v>214</v>
      </c>
      <c r="R125" s="472"/>
      <c r="V125" s="472" t="s">
        <v>215</v>
      </c>
      <c r="W125" s="472"/>
      <c r="X125" s="472"/>
      <c r="Y125" s="472" t="s">
        <v>214</v>
      </c>
      <c r="Z125" s="472"/>
      <c r="AD125" s="472" t="s">
        <v>215</v>
      </c>
      <c r="AE125" s="472"/>
      <c r="AF125" s="472"/>
      <c r="AG125" s="472" t="s">
        <v>214</v>
      </c>
      <c r="AH125" s="472"/>
      <c r="AL125" s="472" t="s">
        <v>215</v>
      </c>
      <c r="AM125" s="472"/>
      <c r="AN125" s="472"/>
    </row>
    <row r="126" spans="1:40" x14ac:dyDescent="0.2">
      <c r="E126" s="454" t="s">
        <v>216</v>
      </c>
      <c r="F126" s="454"/>
      <c r="G126" s="454"/>
      <c r="H126" s="454"/>
      <c r="M126" s="454" t="s">
        <v>216</v>
      </c>
      <c r="N126" s="454"/>
      <c r="O126" s="454"/>
      <c r="P126" s="454"/>
      <c r="U126" s="454" t="s">
        <v>216</v>
      </c>
      <c r="V126" s="454"/>
      <c r="W126" s="454"/>
      <c r="X126" s="454"/>
      <c r="AC126" s="454" t="s">
        <v>216</v>
      </c>
      <c r="AD126" s="454"/>
      <c r="AE126" s="454"/>
      <c r="AF126" s="454"/>
      <c r="AK126" s="454" t="s">
        <v>216</v>
      </c>
      <c r="AL126" s="454"/>
      <c r="AM126" s="454"/>
      <c r="AN126" s="454"/>
    </row>
    <row r="127" spans="1:40" x14ac:dyDescent="0.2">
      <c r="E127" s="150"/>
      <c r="F127" s="150"/>
      <c r="G127" s="150"/>
      <c r="H127" s="150"/>
    </row>
    <row r="128" spans="1:40" ht="18.95" customHeight="1" x14ac:dyDescent="0.2">
      <c r="A128" s="414" t="s">
        <v>487</v>
      </c>
      <c r="B128" s="414"/>
      <c r="C128" s="414"/>
      <c r="D128" s="414"/>
      <c r="E128" s="414"/>
      <c r="F128" s="414"/>
      <c r="G128" s="414"/>
      <c r="H128" s="414"/>
      <c r="I128" s="414" t="s">
        <v>488</v>
      </c>
      <c r="J128" s="414"/>
      <c r="K128" s="414"/>
      <c r="L128" s="414"/>
      <c r="M128" s="414"/>
      <c r="N128" s="414"/>
      <c r="O128" s="414"/>
      <c r="P128" s="414"/>
      <c r="Q128" s="414" t="s">
        <v>489</v>
      </c>
      <c r="R128" s="414"/>
      <c r="S128" s="414"/>
      <c r="T128" s="414"/>
      <c r="U128" s="414"/>
      <c r="V128" s="414"/>
      <c r="W128" s="414"/>
      <c r="X128" s="414"/>
      <c r="Y128" s="414" t="s">
        <v>490</v>
      </c>
      <c r="Z128" s="414"/>
      <c r="AA128" s="414"/>
      <c r="AB128" s="414"/>
      <c r="AC128" s="414"/>
      <c r="AD128" s="414"/>
      <c r="AE128" s="414"/>
      <c r="AF128" s="414"/>
      <c r="AG128" s="414" t="s">
        <v>491</v>
      </c>
      <c r="AH128" s="414"/>
      <c r="AI128" s="414"/>
      <c r="AJ128" s="414"/>
      <c r="AK128" s="414"/>
      <c r="AL128" s="414"/>
      <c r="AM128" s="414"/>
      <c r="AN128" s="414"/>
    </row>
    <row r="129" spans="1:40" ht="18.95" customHeight="1" x14ac:dyDescent="0.2">
      <c r="A129" s="462" t="s">
        <v>690</v>
      </c>
      <c r="B129" s="482"/>
      <c r="C129" s="482"/>
      <c r="D129" s="482"/>
      <c r="E129" s="482"/>
      <c r="F129" s="482"/>
      <c r="G129" s="482"/>
      <c r="H129" s="482"/>
      <c r="I129" s="473" t="s">
        <v>494</v>
      </c>
      <c r="J129" s="465"/>
      <c r="K129" s="465"/>
      <c r="L129" s="465"/>
      <c r="M129" s="465"/>
      <c r="N129" s="465"/>
      <c r="O129" s="465"/>
      <c r="P129" s="465"/>
      <c r="Q129" s="496" t="s">
        <v>910</v>
      </c>
      <c r="R129" s="497"/>
      <c r="S129" s="497"/>
      <c r="T129" s="497"/>
      <c r="U129" s="497"/>
      <c r="V129" s="497"/>
      <c r="W129" s="497"/>
      <c r="X129" s="497"/>
      <c r="Y129" s="473" t="s">
        <v>911</v>
      </c>
      <c r="Z129" s="465"/>
      <c r="AA129" s="465"/>
      <c r="AB129" s="465"/>
      <c r="AC129" s="465"/>
      <c r="AD129" s="465"/>
      <c r="AE129" s="465"/>
      <c r="AF129" s="465"/>
      <c r="AG129" s="473" t="s">
        <v>912</v>
      </c>
      <c r="AH129" s="465"/>
      <c r="AI129" s="465"/>
      <c r="AJ129" s="465"/>
      <c r="AK129" s="465"/>
      <c r="AL129" s="465"/>
      <c r="AM129" s="465"/>
      <c r="AN129" s="465"/>
    </row>
    <row r="130" spans="1:40" ht="18.95" customHeight="1" x14ac:dyDescent="0.2">
      <c r="A130" s="473" t="s">
        <v>492</v>
      </c>
      <c r="B130" s="473"/>
      <c r="C130" s="473"/>
      <c r="D130" s="473"/>
      <c r="E130" s="473"/>
      <c r="F130" s="473"/>
      <c r="G130" s="473"/>
      <c r="H130" s="473"/>
      <c r="I130" s="473" t="s">
        <v>493</v>
      </c>
      <c r="J130" s="473"/>
      <c r="K130" s="473"/>
      <c r="L130" s="473"/>
      <c r="M130" s="473"/>
      <c r="N130" s="473"/>
      <c r="O130" s="473"/>
      <c r="P130" s="473"/>
      <c r="Q130" s="473" t="s">
        <v>495</v>
      </c>
      <c r="R130" s="473"/>
      <c r="S130" s="473"/>
      <c r="T130" s="473"/>
      <c r="U130" s="473"/>
      <c r="V130" s="473"/>
      <c r="W130" s="473"/>
      <c r="X130" s="473"/>
      <c r="Y130" s="473" t="s">
        <v>496</v>
      </c>
      <c r="Z130" s="473"/>
      <c r="AA130" s="473"/>
      <c r="AB130" s="473"/>
      <c r="AC130" s="473"/>
      <c r="AD130" s="473"/>
      <c r="AE130" s="473"/>
      <c r="AF130" s="473"/>
      <c r="AG130" s="473" t="s">
        <v>497</v>
      </c>
      <c r="AH130" s="473"/>
      <c r="AI130" s="473"/>
      <c r="AJ130" s="473"/>
      <c r="AK130" s="473"/>
      <c r="AL130" s="473"/>
      <c r="AM130" s="473"/>
      <c r="AN130" s="473"/>
    </row>
    <row r="131" spans="1:40" ht="18.95" customHeight="1" x14ac:dyDescent="0.2">
      <c r="A131" s="465" t="s">
        <v>189</v>
      </c>
      <c r="B131" s="465"/>
      <c r="C131" s="465"/>
      <c r="D131" s="465"/>
      <c r="E131" s="465"/>
      <c r="F131" s="465"/>
      <c r="G131" s="465"/>
      <c r="H131" s="465"/>
      <c r="I131" s="465" t="s">
        <v>189</v>
      </c>
      <c r="J131" s="465"/>
      <c r="K131" s="465"/>
      <c r="L131" s="465"/>
      <c r="M131" s="465"/>
      <c r="N131" s="465"/>
      <c r="O131" s="465"/>
      <c r="P131" s="465"/>
      <c r="Q131" s="465" t="s">
        <v>189</v>
      </c>
      <c r="R131" s="465"/>
      <c r="S131" s="465"/>
      <c r="T131" s="465"/>
      <c r="U131" s="465"/>
      <c r="V131" s="465"/>
      <c r="W131" s="465"/>
      <c r="X131" s="465"/>
      <c r="Y131" s="465" t="s">
        <v>189</v>
      </c>
      <c r="Z131" s="465"/>
      <c r="AA131" s="465"/>
      <c r="AB131" s="465"/>
      <c r="AC131" s="465"/>
      <c r="AD131" s="465"/>
      <c r="AE131" s="465"/>
      <c r="AF131" s="465"/>
      <c r="AG131" s="465" t="s">
        <v>189</v>
      </c>
      <c r="AH131" s="465"/>
      <c r="AI131" s="465"/>
      <c r="AJ131" s="465"/>
      <c r="AK131" s="465"/>
      <c r="AL131" s="465"/>
      <c r="AM131" s="465"/>
      <c r="AN131" s="465"/>
    </row>
    <row r="132" spans="1:40" ht="18.95" customHeight="1" x14ac:dyDescent="0.2">
      <c r="A132" s="465" t="s">
        <v>190</v>
      </c>
      <c r="B132" s="465"/>
      <c r="C132" s="465"/>
      <c r="D132" s="465"/>
      <c r="E132" s="465"/>
      <c r="F132" s="465"/>
      <c r="G132" s="465"/>
      <c r="H132" s="465"/>
      <c r="I132" s="465" t="s">
        <v>190</v>
      </c>
      <c r="J132" s="465"/>
      <c r="K132" s="465"/>
      <c r="L132" s="465"/>
      <c r="M132" s="465"/>
      <c r="N132" s="465"/>
      <c r="O132" s="465"/>
      <c r="P132" s="465"/>
      <c r="Q132" s="465" t="s">
        <v>190</v>
      </c>
      <c r="R132" s="465"/>
      <c r="S132" s="465"/>
      <c r="T132" s="465"/>
      <c r="U132" s="465"/>
      <c r="V132" s="465"/>
      <c r="W132" s="465"/>
      <c r="X132" s="465"/>
      <c r="Y132" s="465" t="s">
        <v>190</v>
      </c>
      <c r="Z132" s="465"/>
      <c r="AA132" s="465"/>
      <c r="AB132" s="465"/>
      <c r="AC132" s="465"/>
      <c r="AD132" s="465"/>
      <c r="AE132" s="465"/>
      <c r="AF132" s="465"/>
      <c r="AG132" s="465" t="s">
        <v>190</v>
      </c>
      <c r="AH132" s="465"/>
      <c r="AI132" s="465"/>
      <c r="AJ132" s="465"/>
      <c r="AK132" s="465"/>
      <c r="AL132" s="465"/>
      <c r="AM132" s="465"/>
      <c r="AN132" s="465"/>
    </row>
    <row r="133" spans="1:40" ht="18.95" customHeight="1" x14ac:dyDescent="0.2">
      <c r="C133" s="148"/>
      <c r="K133" s="148"/>
      <c r="S133" s="148"/>
      <c r="AA133" s="148"/>
      <c r="AI133" s="148"/>
    </row>
    <row r="134" spans="1:40" ht="18.95" customHeight="1" x14ac:dyDescent="0.2">
      <c r="B134" s="466" t="s">
        <v>174</v>
      </c>
      <c r="C134" s="467"/>
      <c r="D134" s="412" t="s">
        <v>179</v>
      </c>
      <c r="E134" s="412"/>
      <c r="F134" s="412"/>
      <c r="G134" s="412"/>
      <c r="J134" s="466" t="s">
        <v>174</v>
      </c>
      <c r="K134" s="467"/>
      <c r="L134" s="412" t="s">
        <v>179</v>
      </c>
      <c r="M134" s="412"/>
      <c r="N134" s="412"/>
      <c r="O134" s="412"/>
      <c r="R134" s="466" t="s">
        <v>174</v>
      </c>
      <c r="S134" s="467"/>
      <c r="T134" s="412" t="s">
        <v>179</v>
      </c>
      <c r="U134" s="412"/>
      <c r="V134" s="412"/>
      <c r="W134" s="412"/>
      <c r="Z134" s="466" t="s">
        <v>174</v>
      </c>
      <c r="AA134" s="467"/>
      <c r="AB134" s="412" t="s">
        <v>179</v>
      </c>
      <c r="AC134" s="412"/>
      <c r="AD134" s="412"/>
      <c r="AE134" s="412"/>
      <c r="AH134" s="466" t="s">
        <v>174</v>
      </c>
      <c r="AI134" s="467"/>
      <c r="AJ134" s="412" t="s">
        <v>179</v>
      </c>
      <c r="AK134" s="412"/>
      <c r="AL134" s="412"/>
      <c r="AM134" s="412"/>
    </row>
    <row r="135" spans="1:40" ht="18.95" customHeight="1" x14ac:dyDescent="0.2">
      <c r="B135" s="468"/>
      <c r="C135" s="469"/>
      <c r="D135" s="412" t="s">
        <v>177</v>
      </c>
      <c r="E135" s="412"/>
      <c r="F135" s="412" t="s">
        <v>178</v>
      </c>
      <c r="G135" s="412"/>
      <c r="J135" s="468"/>
      <c r="K135" s="469"/>
      <c r="L135" s="412" t="s">
        <v>177</v>
      </c>
      <c r="M135" s="412"/>
      <c r="N135" s="412" t="s">
        <v>178</v>
      </c>
      <c r="O135" s="412"/>
      <c r="R135" s="468"/>
      <c r="S135" s="469"/>
      <c r="T135" s="412" t="s">
        <v>177</v>
      </c>
      <c r="U135" s="412"/>
      <c r="V135" s="412" t="s">
        <v>178</v>
      </c>
      <c r="W135" s="412"/>
      <c r="Z135" s="468"/>
      <c r="AA135" s="469"/>
      <c r="AB135" s="412" t="s">
        <v>177</v>
      </c>
      <c r="AC135" s="412"/>
      <c r="AD135" s="412" t="s">
        <v>178</v>
      </c>
      <c r="AE135" s="412"/>
      <c r="AH135" s="468"/>
      <c r="AI135" s="469"/>
      <c r="AJ135" s="412" t="s">
        <v>177</v>
      </c>
      <c r="AK135" s="412"/>
      <c r="AL135" s="412" t="s">
        <v>178</v>
      </c>
      <c r="AM135" s="412"/>
    </row>
    <row r="136" spans="1:40" ht="18.95" customHeight="1" x14ac:dyDescent="0.2">
      <c r="B136" s="470"/>
      <c r="C136" s="471"/>
      <c r="D136" s="147" t="s">
        <v>175</v>
      </c>
      <c r="E136" s="147" t="s">
        <v>176</v>
      </c>
      <c r="F136" s="147" t="s">
        <v>175</v>
      </c>
      <c r="G136" s="147" t="s">
        <v>176</v>
      </c>
      <c r="J136" s="470"/>
      <c r="K136" s="471"/>
      <c r="L136" s="147" t="s">
        <v>175</v>
      </c>
      <c r="M136" s="147" t="s">
        <v>176</v>
      </c>
      <c r="N136" s="147" t="s">
        <v>175</v>
      </c>
      <c r="O136" s="147" t="s">
        <v>176</v>
      </c>
      <c r="R136" s="470"/>
      <c r="S136" s="471"/>
      <c r="T136" s="147" t="s">
        <v>175</v>
      </c>
      <c r="U136" s="147" t="s">
        <v>176</v>
      </c>
      <c r="V136" s="147" t="s">
        <v>175</v>
      </c>
      <c r="W136" s="147" t="s">
        <v>176</v>
      </c>
      <c r="Z136" s="470"/>
      <c r="AA136" s="471"/>
      <c r="AB136" s="147" t="s">
        <v>175</v>
      </c>
      <c r="AC136" s="147" t="s">
        <v>176</v>
      </c>
      <c r="AD136" s="147" t="s">
        <v>175</v>
      </c>
      <c r="AE136" s="147" t="s">
        <v>176</v>
      </c>
      <c r="AH136" s="470"/>
      <c r="AI136" s="471"/>
      <c r="AJ136" s="147" t="s">
        <v>175</v>
      </c>
      <c r="AK136" s="147" t="s">
        <v>176</v>
      </c>
      <c r="AL136" s="147" t="s">
        <v>175</v>
      </c>
      <c r="AM136" s="147" t="s">
        <v>176</v>
      </c>
    </row>
    <row r="137" spans="1:40" ht="18.95" customHeight="1" x14ac:dyDescent="0.2">
      <c r="B137" s="455" t="s">
        <v>426</v>
      </c>
      <c r="C137" s="456"/>
      <c r="D137" s="106">
        <f>52*E149/110</f>
        <v>28.363636363636363</v>
      </c>
      <c r="E137" s="106">
        <f>38*E149/110</f>
        <v>20.727272727272727</v>
      </c>
      <c r="F137" s="106">
        <f>D137*100</f>
        <v>2836.3636363636365</v>
      </c>
      <c r="G137" s="106">
        <f>E137*100</f>
        <v>2072.7272727272725</v>
      </c>
      <c r="J137" s="455" t="s">
        <v>426</v>
      </c>
      <c r="K137" s="456"/>
      <c r="L137" s="106">
        <f>52*M146/105</f>
        <v>52</v>
      </c>
      <c r="M137" s="106">
        <f>38*M146/105</f>
        <v>38</v>
      </c>
      <c r="N137" s="106">
        <f>L137*100</f>
        <v>5200</v>
      </c>
      <c r="O137" s="106">
        <f>M137*100</f>
        <v>3800</v>
      </c>
      <c r="R137" s="455" t="s">
        <v>426</v>
      </c>
      <c r="S137" s="456"/>
      <c r="T137" s="41">
        <v>5.35</v>
      </c>
      <c r="U137" s="41">
        <v>3.95</v>
      </c>
      <c r="V137" s="41">
        <f>T137*100</f>
        <v>535</v>
      </c>
      <c r="W137" s="41">
        <f>U137*100</f>
        <v>395</v>
      </c>
      <c r="Z137" s="455" t="s">
        <v>520</v>
      </c>
      <c r="AA137" s="456"/>
      <c r="AB137" s="41">
        <v>0</v>
      </c>
      <c r="AC137" s="41">
        <v>129.6</v>
      </c>
      <c r="AD137" s="41">
        <f t="shared" ref="AD137:AE139" si="21">AB137*100</f>
        <v>0</v>
      </c>
      <c r="AE137" s="41">
        <f t="shared" si="21"/>
        <v>12960</v>
      </c>
      <c r="AH137" s="455" t="s">
        <v>520</v>
      </c>
      <c r="AI137" s="456"/>
      <c r="AJ137" s="41">
        <f>106*AK147/175</f>
        <v>60.571428571428569</v>
      </c>
      <c r="AK137" s="41">
        <f>72*AK147/175</f>
        <v>41.142857142857146</v>
      </c>
      <c r="AL137" s="41">
        <f>AJ137*100</f>
        <v>6057.1428571428569</v>
      </c>
      <c r="AM137" s="41">
        <f>AK137*100</f>
        <v>4114.2857142857147</v>
      </c>
    </row>
    <row r="138" spans="1:40" ht="18.95" customHeight="1" x14ac:dyDescent="0.2">
      <c r="B138" s="455" t="s">
        <v>484</v>
      </c>
      <c r="C138" s="456"/>
      <c r="D138" s="106">
        <f>6*E149/110</f>
        <v>3.2727272727272729</v>
      </c>
      <c r="E138" s="106">
        <f>6*E149/110</f>
        <v>3.2727272727272729</v>
      </c>
      <c r="F138" s="106">
        <f t="shared" ref="F138:F144" si="22">D138*100</f>
        <v>327.27272727272731</v>
      </c>
      <c r="G138" s="106">
        <f t="shared" ref="G138:G149" si="23">E138*100</f>
        <v>327.27272727272731</v>
      </c>
      <c r="J138" s="455" t="s">
        <v>413</v>
      </c>
      <c r="K138" s="456"/>
      <c r="L138" s="106">
        <f>8*M146/105</f>
        <v>8</v>
      </c>
      <c r="M138" s="106">
        <f>8*M146/105</f>
        <v>8</v>
      </c>
      <c r="N138" s="106">
        <f t="shared" ref="N138:N143" si="24">L138*100</f>
        <v>800</v>
      </c>
      <c r="O138" s="106">
        <f t="shared" ref="O138:O146" si="25">M138*100</f>
        <v>800</v>
      </c>
      <c r="R138" s="455" t="s">
        <v>517</v>
      </c>
      <c r="S138" s="456"/>
      <c r="T138" s="41">
        <v>98</v>
      </c>
      <c r="U138" s="41">
        <v>83</v>
      </c>
      <c r="V138" s="41">
        <f t="shared" ref="V138:V150" si="26">T138*100</f>
        <v>9800</v>
      </c>
      <c r="W138" s="41">
        <f t="shared" ref="W138:W151" si="27">U138*100</f>
        <v>8300</v>
      </c>
      <c r="Z138" s="455" t="s">
        <v>211</v>
      </c>
      <c r="AA138" s="456"/>
      <c r="AB138" s="41">
        <v>4.5</v>
      </c>
      <c r="AC138" s="41">
        <v>3.6</v>
      </c>
      <c r="AD138" s="41">
        <f t="shared" si="21"/>
        <v>450</v>
      </c>
      <c r="AE138" s="41">
        <f t="shared" si="21"/>
        <v>360</v>
      </c>
      <c r="AH138" s="455" t="s">
        <v>207</v>
      </c>
      <c r="AI138" s="456"/>
      <c r="AJ138" s="41">
        <f>2*AK147/175</f>
        <v>1.1428571428571428</v>
      </c>
      <c r="AK138" s="41">
        <f>2*AK147/175</f>
        <v>1.1428571428571428</v>
      </c>
      <c r="AL138" s="41">
        <f t="shared" ref="AL138:AL145" si="28">AJ138*100</f>
        <v>114.28571428571428</v>
      </c>
      <c r="AM138" s="41">
        <f t="shared" ref="AM138:AM147" si="29">AK138*100</f>
        <v>114.28571428571428</v>
      </c>
    </row>
    <row r="139" spans="1:40" ht="18.95" customHeight="1" x14ac:dyDescent="0.2">
      <c r="B139" s="455" t="s">
        <v>472</v>
      </c>
      <c r="C139" s="456"/>
      <c r="D139" s="106">
        <f>5*E149/110</f>
        <v>2.7272727272727271</v>
      </c>
      <c r="E139" s="106">
        <f>5*E149/110</f>
        <v>2.7272727272727271</v>
      </c>
      <c r="F139" s="106">
        <f t="shared" si="22"/>
        <v>272.72727272727269</v>
      </c>
      <c r="G139" s="106">
        <f t="shared" si="23"/>
        <v>272.72727272727269</v>
      </c>
      <c r="J139" s="455" t="s">
        <v>414</v>
      </c>
      <c r="K139" s="456"/>
      <c r="L139" s="106">
        <f>11*M146/105</f>
        <v>11</v>
      </c>
      <c r="M139" s="106">
        <f>11*M146/105</f>
        <v>11</v>
      </c>
      <c r="N139" s="106">
        <f t="shared" si="24"/>
        <v>1100</v>
      </c>
      <c r="O139" s="106">
        <f t="shared" si="25"/>
        <v>1100</v>
      </c>
      <c r="R139" s="455" t="s">
        <v>207</v>
      </c>
      <c r="S139" s="456"/>
      <c r="T139" s="41">
        <v>4</v>
      </c>
      <c r="U139" s="41">
        <v>4</v>
      </c>
      <c r="V139" s="41">
        <f t="shared" si="26"/>
        <v>400</v>
      </c>
      <c r="W139" s="41">
        <f t="shared" si="27"/>
        <v>400</v>
      </c>
      <c r="Z139" s="455" t="s">
        <v>972</v>
      </c>
      <c r="AA139" s="456"/>
      <c r="AB139" s="41">
        <v>2.7</v>
      </c>
      <c r="AC139" s="41">
        <v>1.8</v>
      </c>
      <c r="AD139" s="41">
        <f t="shared" si="21"/>
        <v>270</v>
      </c>
      <c r="AE139" s="41">
        <f t="shared" si="21"/>
        <v>180</v>
      </c>
      <c r="AH139" s="455" t="s">
        <v>523</v>
      </c>
      <c r="AI139" s="456"/>
      <c r="AJ139" s="41"/>
      <c r="AK139" s="41">
        <f>50*AK147/175</f>
        <v>28.571428571428573</v>
      </c>
      <c r="AL139" s="41"/>
      <c r="AM139" s="41">
        <f t="shared" si="29"/>
        <v>2857.1428571428573</v>
      </c>
    </row>
    <row r="140" spans="1:40" ht="18.95" customHeight="1" x14ac:dyDescent="0.2">
      <c r="B140" s="463" t="s">
        <v>506</v>
      </c>
      <c r="C140" s="464"/>
      <c r="D140" s="106"/>
      <c r="E140" s="106">
        <f>15*E149/110</f>
        <v>8.1818181818181817</v>
      </c>
      <c r="F140" s="106"/>
      <c r="G140" s="106">
        <f t="shared" si="23"/>
        <v>818.18181818181813</v>
      </c>
      <c r="J140" s="455" t="s">
        <v>211</v>
      </c>
      <c r="K140" s="456"/>
      <c r="L140" s="106">
        <f>5*M146/105</f>
        <v>5</v>
      </c>
      <c r="M140" s="106">
        <f>4*M146/105</f>
        <v>4</v>
      </c>
      <c r="N140" s="106">
        <f t="shared" si="24"/>
        <v>500</v>
      </c>
      <c r="O140" s="106">
        <f t="shared" si="25"/>
        <v>400</v>
      </c>
      <c r="R140" s="463" t="s">
        <v>514</v>
      </c>
      <c r="S140" s="464"/>
      <c r="T140" s="41"/>
      <c r="U140" s="41">
        <v>25</v>
      </c>
      <c r="V140" s="41"/>
      <c r="W140" s="41">
        <f t="shared" si="27"/>
        <v>2500</v>
      </c>
      <c r="Z140" s="455" t="s">
        <v>476</v>
      </c>
      <c r="AA140" s="456"/>
      <c r="AB140" s="41"/>
      <c r="AC140" s="41">
        <v>4</v>
      </c>
      <c r="AD140" s="41"/>
      <c r="AE140" s="41">
        <f>AC140*100</f>
        <v>400</v>
      </c>
      <c r="AH140" s="455" t="s">
        <v>249</v>
      </c>
      <c r="AI140" s="456"/>
      <c r="AJ140" s="41">
        <f>107*AK147/175</f>
        <v>61.142857142857146</v>
      </c>
      <c r="AK140" s="41">
        <f>80*AK147/175</f>
        <v>45.714285714285715</v>
      </c>
      <c r="AL140" s="41">
        <f t="shared" si="28"/>
        <v>6114.2857142857147</v>
      </c>
      <c r="AM140" s="41">
        <f t="shared" si="29"/>
        <v>4571.4285714285716</v>
      </c>
    </row>
    <row r="141" spans="1:40" ht="18.95" customHeight="1" x14ac:dyDescent="0.2">
      <c r="B141" s="455" t="s">
        <v>211</v>
      </c>
      <c r="C141" s="456"/>
      <c r="D141" s="106">
        <f>21*E149/110</f>
        <v>11.454545454545455</v>
      </c>
      <c r="E141" s="106">
        <f>18*E149/110</f>
        <v>9.8181818181818183</v>
      </c>
      <c r="F141" s="106">
        <f t="shared" si="22"/>
        <v>1145.4545454545455</v>
      </c>
      <c r="G141" s="106">
        <f t="shared" si="23"/>
        <v>981.81818181818187</v>
      </c>
      <c r="J141" s="455" t="s">
        <v>410</v>
      </c>
      <c r="K141" s="456"/>
      <c r="L141" s="106">
        <f>5*M146/105</f>
        <v>5</v>
      </c>
      <c r="M141" s="106">
        <f>5*M146/105</f>
        <v>5</v>
      </c>
      <c r="N141" s="106">
        <f t="shared" si="24"/>
        <v>500</v>
      </c>
      <c r="O141" s="106">
        <f t="shared" si="25"/>
        <v>500</v>
      </c>
      <c r="R141" s="455" t="s">
        <v>249</v>
      </c>
      <c r="S141" s="456"/>
      <c r="T141" s="41">
        <v>238.81</v>
      </c>
      <c r="U141" s="41">
        <v>143</v>
      </c>
      <c r="V141" s="41">
        <f t="shared" si="26"/>
        <v>23881</v>
      </c>
      <c r="W141" s="41">
        <f t="shared" si="27"/>
        <v>14300</v>
      </c>
      <c r="Z141" s="455" t="s">
        <v>640</v>
      </c>
      <c r="AA141" s="456"/>
      <c r="AB141" s="41"/>
      <c r="AC141" s="41">
        <v>0.02</v>
      </c>
      <c r="AD141" s="41"/>
      <c r="AE141" s="41">
        <f>AC141*100</f>
        <v>2</v>
      </c>
      <c r="AH141" s="455" t="s">
        <v>246</v>
      </c>
      <c r="AI141" s="456"/>
      <c r="AJ141" s="41">
        <f>21*AK147/175</f>
        <v>12</v>
      </c>
      <c r="AK141" s="41">
        <f>17*AK147/175</f>
        <v>9.7142857142857135</v>
      </c>
      <c r="AL141" s="41">
        <f t="shared" si="28"/>
        <v>1200</v>
      </c>
      <c r="AM141" s="41">
        <f t="shared" si="29"/>
        <v>971.42857142857133</v>
      </c>
    </row>
    <row r="142" spans="1:40" ht="18.95" customHeight="1" x14ac:dyDescent="0.2">
      <c r="B142" s="455" t="s">
        <v>207</v>
      </c>
      <c r="C142" s="456"/>
      <c r="D142" s="106">
        <f>3*E149/110</f>
        <v>1.6363636363636365</v>
      </c>
      <c r="E142" s="106">
        <f>3*E149/110</f>
        <v>1.6363636363636365</v>
      </c>
      <c r="F142" s="106">
        <f t="shared" si="22"/>
        <v>163.63636363636365</v>
      </c>
      <c r="G142" s="106">
        <f t="shared" si="23"/>
        <v>163.63636363636365</v>
      </c>
      <c r="J142" s="455" t="s">
        <v>416</v>
      </c>
      <c r="K142" s="456"/>
      <c r="L142" s="106"/>
      <c r="M142" s="106">
        <f>65*M146/105</f>
        <v>65</v>
      </c>
      <c r="N142" s="106"/>
      <c r="O142" s="106">
        <f t="shared" si="25"/>
        <v>6500</v>
      </c>
      <c r="R142" s="463" t="s">
        <v>515</v>
      </c>
      <c r="S142" s="464"/>
      <c r="T142" s="41"/>
      <c r="U142" s="41">
        <f>108*U149/140</f>
        <v>108</v>
      </c>
      <c r="V142" s="41"/>
      <c r="W142" s="41">
        <f t="shared" si="27"/>
        <v>10800</v>
      </c>
      <c r="Z142" s="455" t="s">
        <v>521</v>
      </c>
      <c r="AA142" s="456"/>
      <c r="AB142" s="41"/>
      <c r="AC142" s="41">
        <v>90</v>
      </c>
      <c r="AD142" s="41"/>
      <c r="AE142" s="41">
        <f>AC142*100</f>
        <v>9000</v>
      </c>
      <c r="AH142" s="455" t="s">
        <v>357</v>
      </c>
      <c r="AI142" s="456"/>
      <c r="AJ142" s="41">
        <f>6*AK147/175</f>
        <v>3.4285714285714284</v>
      </c>
      <c r="AK142" s="41">
        <f>6*AK147/75</f>
        <v>8</v>
      </c>
      <c r="AL142" s="41">
        <f t="shared" si="28"/>
        <v>342.85714285714283</v>
      </c>
      <c r="AM142" s="41">
        <f t="shared" si="29"/>
        <v>800</v>
      </c>
    </row>
    <row r="143" spans="1:40" ht="18.95" customHeight="1" x14ac:dyDescent="0.2">
      <c r="B143" s="488" t="s">
        <v>507</v>
      </c>
      <c r="C143" s="489"/>
      <c r="D143" s="106"/>
      <c r="E143" s="106">
        <f>9*E149/110</f>
        <v>4.9090909090909092</v>
      </c>
      <c r="F143" s="106"/>
      <c r="G143" s="106">
        <f t="shared" si="23"/>
        <v>490.90909090909093</v>
      </c>
      <c r="J143" s="455" t="s">
        <v>207</v>
      </c>
      <c r="K143" s="456"/>
      <c r="L143" s="106">
        <f>5*M146/105</f>
        <v>5</v>
      </c>
      <c r="M143" s="106">
        <f>5*M146/105</f>
        <v>5</v>
      </c>
      <c r="N143" s="106">
        <f t="shared" si="24"/>
        <v>500</v>
      </c>
      <c r="O143" s="106">
        <f t="shared" si="25"/>
        <v>500</v>
      </c>
      <c r="R143" s="455" t="s">
        <v>211</v>
      </c>
      <c r="S143" s="456"/>
      <c r="T143" s="41">
        <f>10*U149/140</f>
        <v>10</v>
      </c>
      <c r="U143" s="41">
        <f>8*U149/140</f>
        <v>8</v>
      </c>
      <c r="V143" s="41">
        <f t="shared" si="26"/>
        <v>1000</v>
      </c>
      <c r="W143" s="41">
        <f t="shared" si="27"/>
        <v>800</v>
      </c>
      <c r="Z143" s="232" t="s">
        <v>191</v>
      </c>
      <c r="AA143" s="233"/>
      <c r="AB143" s="41">
        <v>5</v>
      </c>
      <c r="AC143" s="41">
        <v>5</v>
      </c>
      <c r="AD143" s="41">
        <f>AB143*100</f>
        <v>500</v>
      </c>
      <c r="AE143" s="41">
        <f>AC143*100</f>
        <v>500</v>
      </c>
      <c r="AH143" s="455" t="s">
        <v>211</v>
      </c>
      <c r="AI143" s="456"/>
      <c r="AJ143" s="41">
        <f>12*AK147/175</f>
        <v>6.8571428571428568</v>
      </c>
      <c r="AK143" s="41">
        <f>10*AK147/175</f>
        <v>5.7142857142857144</v>
      </c>
      <c r="AL143" s="41">
        <f t="shared" si="28"/>
        <v>685.71428571428567</v>
      </c>
      <c r="AM143" s="41">
        <f t="shared" si="29"/>
        <v>571.42857142857144</v>
      </c>
    </row>
    <row r="144" spans="1:40" ht="18.95" customHeight="1" x14ac:dyDescent="0.2">
      <c r="B144" s="455" t="s">
        <v>410</v>
      </c>
      <c r="C144" s="456"/>
      <c r="D144" s="106">
        <f>4*E149/110</f>
        <v>2.1818181818181817</v>
      </c>
      <c r="E144" s="106">
        <f>4*E149/110</f>
        <v>2.1818181818181817</v>
      </c>
      <c r="F144" s="106">
        <f t="shared" si="22"/>
        <v>218.18181818181816</v>
      </c>
      <c r="G144" s="106">
        <f t="shared" si="23"/>
        <v>218.18181818181816</v>
      </c>
      <c r="J144" s="488" t="s">
        <v>511</v>
      </c>
      <c r="K144" s="489"/>
      <c r="L144" s="106"/>
      <c r="M144" s="106">
        <f>55*M146/105</f>
        <v>55</v>
      </c>
      <c r="N144" s="106"/>
      <c r="O144" s="106">
        <f t="shared" si="25"/>
        <v>5500</v>
      </c>
      <c r="R144" s="455" t="s">
        <v>191</v>
      </c>
      <c r="S144" s="456"/>
      <c r="T144" s="41">
        <f>1*U149/140</f>
        <v>1</v>
      </c>
      <c r="U144" s="41">
        <f>1*U149/140</f>
        <v>1</v>
      </c>
      <c r="V144" s="41">
        <f t="shared" si="26"/>
        <v>100</v>
      </c>
      <c r="W144" s="41">
        <f t="shared" si="27"/>
        <v>100</v>
      </c>
      <c r="Z144" s="457" t="s">
        <v>180</v>
      </c>
      <c r="AA144" s="458"/>
      <c r="AB144" s="118" t="s">
        <v>996</v>
      </c>
      <c r="AC144" s="106">
        <f>мясо!B43</f>
        <v>90</v>
      </c>
      <c r="AD144" s="106"/>
      <c r="AE144" s="106">
        <f>AC144*100</f>
        <v>9000</v>
      </c>
      <c r="AH144" s="455" t="s">
        <v>207</v>
      </c>
      <c r="AI144" s="456"/>
      <c r="AJ144" s="41">
        <f>4*AK147/175</f>
        <v>2.2857142857142856</v>
      </c>
      <c r="AK144" s="41">
        <f>4*AK147/175</f>
        <v>2.2857142857142856</v>
      </c>
      <c r="AL144" s="41">
        <f t="shared" si="28"/>
        <v>228.57142857142856</v>
      </c>
      <c r="AM144" s="41">
        <f t="shared" si="29"/>
        <v>228.57142857142856</v>
      </c>
    </row>
    <row r="145" spans="1:40" ht="18.95" customHeight="1" x14ac:dyDescent="0.2">
      <c r="B145" s="455" t="s">
        <v>416</v>
      </c>
      <c r="C145" s="456"/>
      <c r="D145" s="106"/>
      <c r="E145" s="106">
        <f>71*E149/110</f>
        <v>38.727272727272727</v>
      </c>
      <c r="F145" s="106"/>
      <c r="G145" s="106">
        <f t="shared" si="23"/>
        <v>3872.7272727272725</v>
      </c>
      <c r="J145" s="455" t="s">
        <v>512</v>
      </c>
      <c r="K145" s="456"/>
      <c r="L145" s="106"/>
      <c r="M145" s="106">
        <f>50*M146/105</f>
        <v>50</v>
      </c>
      <c r="N145" s="106"/>
      <c r="O145" s="106">
        <f t="shared" si="25"/>
        <v>5000</v>
      </c>
      <c r="R145" s="488" t="s">
        <v>507</v>
      </c>
      <c r="S145" s="489"/>
      <c r="T145" s="41"/>
      <c r="U145" s="41">
        <f>4*U149/140</f>
        <v>4</v>
      </c>
      <c r="V145" s="41"/>
      <c r="W145" s="41">
        <f t="shared" si="27"/>
        <v>400</v>
      </c>
      <c r="AH145" s="455" t="s">
        <v>410</v>
      </c>
      <c r="AI145" s="456"/>
      <c r="AJ145" s="41">
        <f>1*AK147/175</f>
        <v>0.5714285714285714</v>
      </c>
      <c r="AK145" s="41">
        <f>1*AK147/175</f>
        <v>0.5714285714285714</v>
      </c>
      <c r="AL145" s="41">
        <f t="shared" si="28"/>
        <v>57.142857142857139</v>
      </c>
      <c r="AM145" s="41">
        <f t="shared" si="29"/>
        <v>57.142857142857139</v>
      </c>
    </row>
    <row r="146" spans="1:40" ht="18.95" customHeight="1" x14ac:dyDescent="0.2">
      <c r="B146" s="455" t="s">
        <v>508</v>
      </c>
      <c r="C146" s="456"/>
      <c r="D146" s="106"/>
      <c r="E146" s="106">
        <f>60*E149/110</f>
        <v>32.727272727272727</v>
      </c>
      <c r="F146" s="106"/>
      <c r="G146" s="106">
        <f t="shared" si="23"/>
        <v>3272.7272727272725</v>
      </c>
      <c r="J146" s="457" t="s">
        <v>180</v>
      </c>
      <c r="K146" s="458"/>
      <c r="L146" s="118"/>
      <c r="M146" s="106">
        <f>мясо!B37</f>
        <v>105</v>
      </c>
      <c r="N146" s="118"/>
      <c r="O146" s="106">
        <f t="shared" si="25"/>
        <v>10500</v>
      </c>
      <c r="R146" s="455" t="s">
        <v>207</v>
      </c>
      <c r="S146" s="456"/>
      <c r="T146" s="41">
        <f>2*U149/140</f>
        <v>2</v>
      </c>
      <c r="U146" s="41">
        <f>2*U149/140</f>
        <v>2</v>
      </c>
      <c r="V146" s="41">
        <f t="shared" si="26"/>
        <v>200</v>
      </c>
      <c r="W146" s="41">
        <f t="shared" si="27"/>
        <v>200</v>
      </c>
      <c r="Y146" s="459" t="s">
        <v>181</v>
      </c>
      <c r="Z146" s="459"/>
      <c r="AA146" s="459"/>
      <c r="AB146" s="459"/>
      <c r="AC146" s="459"/>
      <c r="AD146" s="459"/>
      <c r="AE146" s="459"/>
      <c r="AF146" s="459"/>
      <c r="AH146" s="455" t="s">
        <v>524</v>
      </c>
      <c r="AI146" s="456"/>
      <c r="AJ146" s="41"/>
      <c r="AK146" s="41">
        <f>125*AK147/175</f>
        <v>71.428571428571431</v>
      </c>
      <c r="AL146" s="41"/>
      <c r="AM146" s="41">
        <f t="shared" si="29"/>
        <v>7142.8571428571431</v>
      </c>
    </row>
    <row r="147" spans="1:40" ht="18.95" customHeight="1" x14ac:dyDescent="0.2">
      <c r="B147" s="455" t="s">
        <v>207</v>
      </c>
      <c r="C147" s="456"/>
      <c r="D147" s="106"/>
      <c r="E147" s="106">
        <f>3*E149/110</f>
        <v>1.6363636363636365</v>
      </c>
      <c r="F147" s="106"/>
      <c r="G147" s="106">
        <f t="shared" si="23"/>
        <v>163.63636363636365</v>
      </c>
      <c r="R147" s="455" t="s">
        <v>415</v>
      </c>
      <c r="S147" s="456"/>
      <c r="T147" s="41">
        <f>2*U149/140</f>
        <v>2</v>
      </c>
      <c r="U147" s="41">
        <f>2*U149/140</f>
        <v>2</v>
      </c>
      <c r="V147" s="41">
        <f t="shared" si="26"/>
        <v>200</v>
      </c>
      <c r="W147" s="41">
        <f t="shared" si="27"/>
        <v>200</v>
      </c>
      <c r="Y147" s="228" t="s">
        <v>182</v>
      </c>
      <c r="Z147" s="228" t="s">
        <v>106</v>
      </c>
      <c r="AA147" s="229" t="s">
        <v>107</v>
      </c>
      <c r="AB147" s="230" t="s">
        <v>187</v>
      </c>
      <c r="AC147" s="228" t="s">
        <v>183</v>
      </c>
      <c r="AD147" s="228" t="s">
        <v>184</v>
      </c>
      <c r="AE147" s="228" t="s">
        <v>185</v>
      </c>
      <c r="AF147" s="228" t="s">
        <v>186</v>
      </c>
      <c r="AH147" s="457" t="s">
        <v>180</v>
      </c>
      <c r="AI147" s="458"/>
      <c r="AJ147" s="118"/>
      <c r="AK147" s="106">
        <f>мясо!B45</f>
        <v>100</v>
      </c>
      <c r="AL147" s="118"/>
      <c r="AM147" s="106">
        <f t="shared" si="29"/>
        <v>10000</v>
      </c>
    </row>
    <row r="148" spans="1:40" ht="18.95" customHeight="1" x14ac:dyDescent="0.2">
      <c r="B148" s="455" t="s">
        <v>509</v>
      </c>
      <c r="C148" s="456"/>
      <c r="D148" s="106"/>
      <c r="E148" s="106">
        <f>50*E149/110</f>
        <v>27.272727272727273</v>
      </c>
      <c r="F148" s="106"/>
      <c r="G148" s="106">
        <f t="shared" si="23"/>
        <v>2727.2727272727275</v>
      </c>
      <c r="I148" s="459" t="s">
        <v>181</v>
      </c>
      <c r="J148" s="459"/>
      <c r="K148" s="459"/>
      <c r="L148" s="459"/>
      <c r="M148" s="459"/>
      <c r="N148" s="459"/>
      <c r="O148" s="459"/>
      <c r="P148" s="459"/>
      <c r="R148" s="455" t="s">
        <v>416</v>
      </c>
      <c r="S148" s="456"/>
      <c r="T148" s="41"/>
      <c r="U148" s="41">
        <f>164*U149/140</f>
        <v>164</v>
      </c>
      <c r="V148" s="41"/>
      <c r="W148" s="41">
        <f t="shared" si="27"/>
        <v>16400</v>
      </c>
      <c r="Y148" s="41">
        <f>мясо!E43</f>
        <v>21.131999999999998</v>
      </c>
      <c r="Z148" s="41">
        <f>мясо!F43</f>
        <v>23.238000000000003</v>
      </c>
      <c r="AA148" s="41">
        <f>мясо!G43</f>
        <v>0.43199999999999994</v>
      </c>
      <c r="AB148" s="41">
        <f>мясо!H43</f>
        <v>295.2</v>
      </c>
      <c r="AC148" s="41">
        <f>мясо!M43</f>
        <v>50.4</v>
      </c>
      <c r="AD148" s="41">
        <f>мясо!O43</f>
        <v>18.251999999999999</v>
      </c>
      <c r="AE148" s="41">
        <f>мясо!P43</f>
        <v>1.71</v>
      </c>
      <c r="AF148" s="41">
        <f>мясо!J43</f>
        <v>2.1239999999999997</v>
      </c>
    </row>
    <row r="149" spans="1:40" ht="18.95" customHeight="1" x14ac:dyDescent="0.2">
      <c r="B149" s="457" t="s">
        <v>180</v>
      </c>
      <c r="C149" s="458"/>
      <c r="D149" s="118"/>
      <c r="E149" s="106">
        <f>мясо!B35</f>
        <v>60</v>
      </c>
      <c r="F149" s="106"/>
      <c r="G149" s="106">
        <f t="shared" si="23"/>
        <v>6000</v>
      </c>
      <c r="I149" s="147" t="s">
        <v>182</v>
      </c>
      <c r="J149" s="147" t="s">
        <v>106</v>
      </c>
      <c r="K149" s="115" t="s">
        <v>107</v>
      </c>
      <c r="L149" s="116" t="s">
        <v>187</v>
      </c>
      <c r="M149" s="147" t="s">
        <v>183</v>
      </c>
      <c r="N149" s="147" t="s">
        <v>184</v>
      </c>
      <c r="O149" s="147" t="s">
        <v>185</v>
      </c>
      <c r="P149" s="147" t="s">
        <v>186</v>
      </c>
      <c r="R149" s="455" t="s">
        <v>516</v>
      </c>
      <c r="S149" s="456"/>
      <c r="T149" s="41"/>
      <c r="U149" s="41">
        <v>140</v>
      </c>
      <c r="V149" s="41"/>
      <c r="W149" s="41">
        <f t="shared" si="27"/>
        <v>14000</v>
      </c>
      <c r="AG149" s="459" t="s">
        <v>181</v>
      </c>
      <c r="AH149" s="459"/>
      <c r="AI149" s="459"/>
      <c r="AJ149" s="459"/>
      <c r="AK149" s="459"/>
      <c r="AL149" s="459"/>
      <c r="AM149" s="459"/>
      <c r="AN149" s="459"/>
    </row>
    <row r="150" spans="1:40" ht="18.95" customHeight="1" x14ac:dyDescent="0.2">
      <c r="I150" s="41">
        <f>мясо!E37</f>
        <v>8.4499999999999993</v>
      </c>
      <c r="J150" s="41">
        <f>мясо!F37</f>
        <v>11.690000000000001</v>
      </c>
      <c r="K150" s="41">
        <f>мясо!G37</f>
        <v>9</v>
      </c>
      <c r="L150" s="41">
        <f>мясо!H37</f>
        <v>184</v>
      </c>
      <c r="M150" s="41">
        <f>мясо!M37</f>
        <v>25.7</v>
      </c>
      <c r="N150" s="41">
        <f>мясо!O37</f>
        <v>13.58</v>
      </c>
      <c r="O150" s="41">
        <f>мясо!P37</f>
        <v>5.29</v>
      </c>
      <c r="P150" s="41">
        <f>мясо!J37</f>
        <v>0.26</v>
      </c>
      <c r="R150" s="455" t="s">
        <v>191</v>
      </c>
      <c r="S150" s="456"/>
      <c r="T150" s="41">
        <v>10</v>
      </c>
      <c r="U150" s="41">
        <v>10</v>
      </c>
      <c r="V150" s="41">
        <f t="shared" si="26"/>
        <v>1000</v>
      </c>
      <c r="W150" s="41">
        <f t="shared" si="27"/>
        <v>1000</v>
      </c>
      <c r="Y150" s="487" t="s">
        <v>522</v>
      </c>
      <c r="Z150" s="487"/>
      <c r="AA150" s="487"/>
      <c r="AB150" s="487"/>
      <c r="AC150" s="487"/>
      <c r="AD150" s="487"/>
      <c r="AE150" s="487"/>
      <c r="AF150" s="487"/>
      <c r="AG150" s="147" t="s">
        <v>182</v>
      </c>
      <c r="AH150" s="147" t="s">
        <v>106</v>
      </c>
      <c r="AI150" s="115" t="s">
        <v>107</v>
      </c>
      <c r="AJ150" s="116" t="s">
        <v>187</v>
      </c>
      <c r="AK150" s="147" t="s">
        <v>183</v>
      </c>
      <c r="AL150" s="147" t="s">
        <v>184</v>
      </c>
      <c r="AM150" s="147" t="s">
        <v>185</v>
      </c>
      <c r="AN150" s="147" t="s">
        <v>186</v>
      </c>
    </row>
    <row r="151" spans="1:40" ht="18.95" customHeight="1" x14ac:dyDescent="0.2">
      <c r="A151" s="459" t="s">
        <v>181</v>
      </c>
      <c r="B151" s="459"/>
      <c r="C151" s="459"/>
      <c r="D151" s="459"/>
      <c r="E151" s="459"/>
      <c r="F151" s="459"/>
      <c r="G151" s="459"/>
      <c r="H151" s="459"/>
      <c r="R151" s="457" t="s">
        <v>180</v>
      </c>
      <c r="S151" s="458"/>
      <c r="T151" s="118"/>
      <c r="U151" s="106">
        <f>мясо!B39</f>
        <v>150</v>
      </c>
      <c r="V151" s="106"/>
      <c r="W151" s="106">
        <f t="shared" si="27"/>
        <v>15000</v>
      </c>
      <c r="Y151" s="487"/>
      <c r="Z151" s="487"/>
      <c r="AA151" s="487"/>
      <c r="AB151" s="487"/>
      <c r="AC151" s="487"/>
      <c r="AD151" s="487"/>
      <c r="AE151" s="487"/>
      <c r="AF151" s="487"/>
      <c r="AG151" s="41">
        <f>мясо!E45</f>
        <v>7.177142857142857</v>
      </c>
      <c r="AH151" s="41">
        <f>мясо!F45</f>
        <v>6.6971428571428575</v>
      </c>
      <c r="AI151" s="41">
        <f>мясо!G45</f>
        <v>8.6857142857142851</v>
      </c>
      <c r="AJ151" s="41">
        <f>мясо!H45</f>
        <v>124</v>
      </c>
      <c r="AK151" s="41">
        <f>мясо!M45</f>
        <v>21.028571428571425</v>
      </c>
      <c r="AL151" s="41">
        <f>мясо!O45</f>
        <v>22.114285714285717</v>
      </c>
      <c r="AM151" s="41">
        <f>мясо!P45</f>
        <v>1.0971428571428572</v>
      </c>
      <c r="AN151" s="41">
        <f>мясо!J45</f>
        <v>6.4742857142857142</v>
      </c>
    </row>
    <row r="152" spans="1:40" ht="18.95" customHeight="1" x14ac:dyDescent="0.2">
      <c r="A152" s="147" t="s">
        <v>182</v>
      </c>
      <c r="B152" s="147" t="s">
        <v>106</v>
      </c>
      <c r="C152" s="115" t="s">
        <v>107</v>
      </c>
      <c r="D152" s="116" t="s">
        <v>187</v>
      </c>
      <c r="E152" s="147" t="s">
        <v>183</v>
      </c>
      <c r="F152" s="147" t="s">
        <v>184</v>
      </c>
      <c r="G152" s="147" t="s">
        <v>185</v>
      </c>
      <c r="H152" s="200" t="s">
        <v>186</v>
      </c>
      <c r="I152" s="462" t="s">
        <v>513</v>
      </c>
      <c r="J152" s="462"/>
      <c r="K152" s="462"/>
      <c r="L152" s="462"/>
      <c r="M152" s="462"/>
      <c r="N152" s="462"/>
      <c r="O152" s="462"/>
      <c r="P152" s="462"/>
      <c r="Y152" s="487"/>
      <c r="Z152" s="487"/>
      <c r="AA152" s="487"/>
      <c r="AB152" s="487"/>
      <c r="AC152" s="487"/>
      <c r="AD152" s="487"/>
      <c r="AE152" s="487"/>
      <c r="AF152" s="487"/>
    </row>
    <row r="153" spans="1:40" ht="18.95" customHeight="1" x14ac:dyDescent="0.2">
      <c r="A153" s="41">
        <f>мясо!E35</f>
        <v>4.96</v>
      </c>
      <c r="B153" s="41">
        <f>мясо!F35</f>
        <v>6.11</v>
      </c>
      <c r="C153" s="41">
        <f>мясо!G35</f>
        <v>23.61</v>
      </c>
      <c r="D153" s="41">
        <f>мясо!H35</f>
        <v>241</v>
      </c>
      <c r="E153" s="41">
        <f>мясо!M35</f>
        <v>11.792727272727273</v>
      </c>
      <c r="F153" s="41">
        <f>мясо!O35</f>
        <v>9.4472727272727273</v>
      </c>
      <c r="G153" s="41">
        <f>мясо!P35</f>
        <v>0.48</v>
      </c>
      <c r="H153" s="41">
        <f>мясо!J35</f>
        <v>0.50181818181818183</v>
      </c>
      <c r="I153" s="462"/>
      <c r="J153" s="462"/>
      <c r="K153" s="462"/>
      <c r="L153" s="462"/>
      <c r="M153" s="462"/>
      <c r="N153" s="462"/>
      <c r="O153" s="462"/>
      <c r="P153" s="462"/>
      <c r="Q153" s="459" t="s">
        <v>518</v>
      </c>
      <c r="R153" s="459"/>
      <c r="S153" s="459"/>
      <c r="T153" s="459"/>
      <c r="U153" s="459"/>
      <c r="V153" s="459"/>
      <c r="W153" s="459"/>
      <c r="X153" s="459"/>
      <c r="Y153" s="487"/>
      <c r="Z153" s="487"/>
      <c r="AA153" s="487"/>
      <c r="AB153" s="487"/>
      <c r="AC153" s="487"/>
      <c r="AD153" s="487"/>
      <c r="AE153" s="487"/>
      <c r="AF153" s="487"/>
      <c r="AG153" s="462" t="s">
        <v>525</v>
      </c>
      <c r="AH153" s="462"/>
      <c r="AI153" s="462"/>
      <c r="AJ153" s="462"/>
      <c r="AK153" s="462"/>
      <c r="AL153" s="462"/>
      <c r="AM153" s="462"/>
      <c r="AN153" s="462"/>
    </row>
    <row r="154" spans="1:40" ht="18.95" customHeight="1" x14ac:dyDescent="0.2">
      <c r="I154" s="462"/>
      <c r="J154" s="462"/>
      <c r="K154" s="462"/>
      <c r="L154" s="462"/>
      <c r="M154" s="462"/>
      <c r="N154" s="462"/>
      <c r="O154" s="462"/>
      <c r="P154" s="462"/>
      <c r="Q154" s="147" t="s">
        <v>182</v>
      </c>
      <c r="R154" s="147" t="s">
        <v>106</v>
      </c>
      <c r="S154" s="115" t="s">
        <v>107</v>
      </c>
      <c r="T154" s="116" t="s">
        <v>187</v>
      </c>
      <c r="U154" s="147" t="s">
        <v>183</v>
      </c>
      <c r="V154" s="147" t="s">
        <v>184</v>
      </c>
      <c r="W154" s="147" t="s">
        <v>185</v>
      </c>
      <c r="X154" s="200" t="s">
        <v>186</v>
      </c>
      <c r="Y154" s="487"/>
      <c r="Z154" s="487"/>
      <c r="AA154" s="487"/>
      <c r="AB154" s="487"/>
      <c r="AC154" s="487"/>
      <c r="AD154" s="487"/>
      <c r="AE154" s="487"/>
      <c r="AF154" s="487"/>
      <c r="AG154" s="462"/>
      <c r="AH154" s="462"/>
      <c r="AI154" s="462"/>
      <c r="AJ154" s="462"/>
      <c r="AK154" s="462"/>
      <c r="AL154" s="462"/>
      <c r="AM154" s="462"/>
      <c r="AN154" s="462"/>
    </row>
    <row r="155" spans="1:40" ht="18.95" customHeight="1" x14ac:dyDescent="0.2">
      <c r="A155" s="462" t="s">
        <v>510</v>
      </c>
      <c r="B155" s="462"/>
      <c r="C155" s="462"/>
      <c r="D155" s="462"/>
      <c r="E155" s="462"/>
      <c r="F155" s="462"/>
      <c r="G155" s="462"/>
      <c r="H155" s="462"/>
      <c r="I155" s="462"/>
      <c r="J155" s="462"/>
      <c r="K155" s="462"/>
      <c r="L155" s="462"/>
      <c r="M155" s="462"/>
      <c r="N155" s="462"/>
      <c r="O155" s="462"/>
      <c r="P155" s="462"/>
      <c r="Q155" s="41">
        <f>мясо!E39</f>
        <v>17.213793103448275</v>
      </c>
      <c r="R155" s="41">
        <f>мясо!F39</f>
        <v>21.610344827586207</v>
      </c>
      <c r="S155" s="41">
        <f>мясо!G39</f>
        <v>20.482758620689655</v>
      </c>
      <c r="T155" s="41">
        <f>мясо!H39</f>
        <v>336.20689655172413</v>
      </c>
      <c r="U155" s="41">
        <f>мясо!M39</f>
        <v>43.913793103448278</v>
      </c>
      <c r="V155" s="41">
        <f>мясо!O39</f>
        <v>109.81034482758621</v>
      </c>
      <c r="W155" s="41">
        <f>мясо!P39</f>
        <v>3.9620689655172412</v>
      </c>
      <c r="X155" s="41">
        <f>мясо!J39</f>
        <v>4.9448275862068964</v>
      </c>
      <c r="AG155" s="462"/>
      <c r="AH155" s="462"/>
      <c r="AI155" s="462"/>
      <c r="AJ155" s="462"/>
      <c r="AK155" s="462"/>
      <c r="AL155" s="462"/>
      <c r="AM155" s="462"/>
      <c r="AN155" s="462"/>
    </row>
    <row r="156" spans="1:40" ht="18.95" customHeight="1" x14ac:dyDescent="0.2">
      <c r="A156" s="462"/>
      <c r="B156" s="462"/>
      <c r="C156" s="462"/>
      <c r="D156" s="462"/>
      <c r="E156" s="462"/>
      <c r="F156" s="462"/>
      <c r="G156" s="462"/>
      <c r="H156" s="462"/>
      <c r="I156" s="125"/>
      <c r="X156" s="202"/>
      <c r="Y156" s="491" t="s">
        <v>232</v>
      </c>
      <c r="Z156" s="491"/>
      <c r="AA156" s="491"/>
      <c r="AG156" s="462"/>
      <c r="AH156" s="462"/>
      <c r="AI156" s="462"/>
      <c r="AJ156" s="462"/>
      <c r="AK156" s="462"/>
      <c r="AL156" s="462"/>
      <c r="AM156" s="462"/>
      <c r="AN156" s="462"/>
    </row>
    <row r="157" spans="1:40" ht="18.95" customHeight="1" x14ac:dyDescent="0.2">
      <c r="A157" s="462"/>
      <c r="B157" s="462"/>
      <c r="C157" s="462"/>
      <c r="D157" s="462"/>
      <c r="E157" s="462"/>
      <c r="F157" s="462"/>
      <c r="G157" s="462"/>
      <c r="H157" s="462"/>
      <c r="I157" s="454" t="s">
        <v>232</v>
      </c>
      <c r="J157" s="454"/>
      <c r="K157" s="454"/>
      <c r="Q157" s="459" t="s">
        <v>519</v>
      </c>
      <c r="R157" s="459"/>
      <c r="S157" s="459"/>
      <c r="T157" s="459"/>
      <c r="U157" s="459"/>
      <c r="V157" s="459"/>
      <c r="W157" s="459"/>
      <c r="X157" s="459"/>
      <c r="AG157" s="125"/>
    </row>
    <row r="158" spans="1:40" ht="18.95" customHeight="1" x14ac:dyDescent="0.2">
      <c r="A158" s="462"/>
      <c r="B158" s="462"/>
      <c r="C158" s="462"/>
      <c r="D158" s="462"/>
      <c r="E158" s="462"/>
      <c r="F158" s="462"/>
      <c r="G158" s="462"/>
      <c r="H158" s="462"/>
      <c r="Q158" s="147" t="s">
        <v>182</v>
      </c>
      <c r="R158" s="147" t="s">
        <v>106</v>
      </c>
      <c r="S158" s="115" t="s">
        <v>107</v>
      </c>
      <c r="T158" s="116" t="s">
        <v>187</v>
      </c>
      <c r="U158" s="147" t="s">
        <v>183</v>
      </c>
      <c r="V158" s="147" t="s">
        <v>184</v>
      </c>
      <c r="W158" s="147" t="s">
        <v>185</v>
      </c>
      <c r="X158" s="236" t="s">
        <v>186</v>
      </c>
      <c r="AG158" s="125" t="s">
        <v>232</v>
      </c>
      <c r="AH158" s="125"/>
      <c r="AI158" s="125"/>
    </row>
    <row r="159" spans="1:40" ht="18.95" customHeight="1" x14ac:dyDescent="0.2">
      <c r="A159" s="462"/>
      <c r="B159" s="462"/>
      <c r="C159" s="462"/>
      <c r="D159" s="462"/>
      <c r="E159" s="462"/>
      <c r="F159" s="462"/>
      <c r="G159" s="462"/>
      <c r="H159" s="462"/>
      <c r="Q159" s="41">
        <f>мясо!E41</f>
        <v>15.785172413793102</v>
      </c>
      <c r="R159" s="41">
        <f>мясо!F41</f>
        <v>12.80689655172414</v>
      </c>
      <c r="S159" s="41">
        <f>мясо!G41</f>
        <v>19.5</v>
      </c>
      <c r="T159" s="41">
        <f>мясо!H41</f>
        <v>264.82758620689657</v>
      </c>
      <c r="U159" s="41">
        <f>мясо!M41</f>
        <v>43.489655172413791</v>
      </c>
      <c r="V159" s="41">
        <f>мясо!O41</f>
        <v>69.031034482758628</v>
      </c>
      <c r="W159" s="41">
        <f>мясо!P41</f>
        <v>6.568965517241379</v>
      </c>
      <c r="X159" s="41">
        <f>мясо!J41</f>
        <v>16.603448275862068</v>
      </c>
    </row>
    <row r="160" spans="1:40" ht="18.95" customHeight="1" x14ac:dyDescent="0.2">
      <c r="A160" s="119"/>
      <c r="B160" s="119"/>
      <c r="C160" s="119"/>
      <c r="D160" s="119"/>
      <c r="E160" s="119"/>
      <c r="F160" s="119"/>
      <c r="G160" s="119"/>
      <c r="H160" s="119"/>
      <c r="Q160" s="119"/>
      <c r="R160" s="119"/>
      <c r="S160" s="119"/>
      <c r="T160" s="119"/>
      <c r="U160" s="119"/>
      <c r="V160" s="119"/>
      <c r="W160" s="119"/>
      <c r="X160" s="119"/>
    </row>
    <row r="161" spans="1:40" ht="18.95" customHeight="1" x14ac:dyDescent="0.2">
      <c r="A161" s="454" t="s">
        <v>232</v>
      </c>
      <c r="B161" s="454"/>
      <c r="C161" s="454"/>
      <c r="Q161" s="487" t="s">
        <v>691</v>
      </c>
      <c r="R161" s="487"/>
      <c r="S161" s="487"/>
      <c r="T161" s="487"/>
      <c r="U161" s="487"/>
      <c r="V161" s="487"/>
      <c r="W161" s="487"/>
      <c r="X161" s="487"/>
    </row>
    <row r="162" spans="1:40" ht="18.95" customHeight="1" x14ac:dyDescent="0.2">
      <c r="A162" s="125"/>
      <c r="Q162" s="487"/>
      <c r="R162" s="487"/>
      <c r="S162" s="487"/>
      <c r="T162" s="487"/>
      <c r="U162" s="487"/>
      <c r="V162" s="487"/>
      <c r="W162" s="487"/>
      <c r="X162" s="487"/>
    </row>
    <row r="163" spans="1:40" ht="18.95" customHeight="1" x14ac:dyDescent="0.2">
      <c r="Q163" s="487"/>
      <c r="R163" s="487"/>
      <c r="S163" s="487"/>
      <c r="T163" s="487"/>
      <c r="U163" s="487"/>
      <c r="V163" s="487"/>
      <c r="W163" s="487"/>
      <c r="X163" s="487"/>
    </row>
    <row r="164" spans="1:40" ht="18.95" customHeight="1" x14ac:dyDescent="0.2">
      <c r="Q164" s="487"/>
      <c r="R164" s="487"/>
      <c r="S164" s="487"/>
      <c r="T164" s="487"/>
      <c r="U164" s="487"/>
      <c r="V164" s="487"/>
      <c r="W164" s="487"/>
      <c r="X164" s="487"/>
    </row>
    <row r="165" spans="1:40" ht="18.95" customHeight="1" x14ac:dyDescent="0.2">
      <c r="Q165" s="454" t="s">
        <v>232</v>
      </c>
      <c r="R165" s="454"/>
      <c r="S165" s="454"/>
    </row>
    <row r="166" spans="1:40" x14ac:dyDescent="0.2">
      <c r="A166" s="472" t="s">
        <v>214</v>
      </c>
      <c r="B166" s="472"/>
      <c r="C166" s="168"/>
      <c r="D166" s="168"/>
      <c r="E166" s="168"/>
      <c r="F166" s="472" t="s">
        <v>215</v>
      </c>
      <c r="G166" s="472"/>
      <c r="H166" s="472"/>
      <c r="I166" s="472" t="s">
        <v>214</v>
      </c>
      <c r="J166" s="472"/>
      <c r="K166" s="168"/>
      <c r="L166" s="168"/>
      <c r="M166" s="168"/>
      <c r="N166" s="472" t="s">
        <v>215</v>
      </c>
      <c r="O166" s="472"/>
      <c r="P166" s="472"/>
      <c r="Q166" s="472" t="s">
        <v>214</v>
      </c>
      <c r="R166" s="472"/>
      <c r="S166" s="168"/>
      <c r="T166" s="168"/>
      <c r="U166" s="168"/>
      <c r="V166" s="472" t="s">
        <v>215</v>
      </c>
      <c r="W166" s="472"/>
      <c r="X166" s="472"/>
      <c r="Y166" s="472" t="s">
        <v>214</v>
      </c>
      <c r="Z166" s="472"/>
      <c r="AA166" s="168"/>
      <c r="AB166" s="168"/>
      <c r="AC166" s="168"/>
      <c r="AD166" s="472" t="s">
        <v>215</v>
      </c>
      <c r="AE166" s="472"/>
      <c r="AF166" s="472"/>
      <c r="AG166" s="472" t="s">
        <v>214</v>
      </c>
      <c r="AH166" s="472"/>
      <c r="AI166" s="168"/>
      <c r="AJ166" s="168"/>
      <c r="AK166" s="168"/>
      <c r="AL166" s="472" t="s">
        <v>215</v>
      </c>
      <c r="AM166" s="472"/>
      <c r="AN166" s="472"/>
    </row>
    <row r="167" spans="1:40" x14ac:dyDescent="0.2">
      <c r="E167" s="454" t="s">
        <v>216</v>
      </c>
      <c r="F167" s="454"/>
      <c r="G167" s="454"/>
      <c r="H167" s="454"/>
      <c r="M167" s="454" t="s">
        <v>216</v>
      </c>
      <c r="N167" s="454"/>
      <c r="O167" s="454"/>
      <c r="P167" s="454"/>
      <c r="U167" s="454" t="s">
        <v>216</v>
      </c>
      <c r="V167" s="454"/>
      <c r="W167" s="454"/>
      <c r="X167" s="454"/>
      <c r="AC167" s="454" t="s">
        <v>216</v>
      </c>
      <c r="AD167" s="454"/>
      <c r="AE167" s="454"/>
      <c r="AF167" s="454"/>
      <c r="AK167" s="454" t="s">
        <v>216</v>
      </c>
      <c r="AL167" s="454"/>
      <c r="AM167" s="454"/>
      <c r="AN167" s="454"/>
    </row>
    <row r="168" spans="1:40" x14ac:dyDescent="0.2">
      <c r="E168" s="150"/>
      <c r="F168" s="150"/>
      <c r="G168" s="150"/>
      <c r="H168" s="150"/>
      <c r="AK168" s="267"/>
      <c r="AL168" s="267"/>
      <c r="AM168" s="267"/>
      <c r="AN168" s="267"/>
    </row>
    <row r="169" spans="1:40" ht="18.95" customHeight="1" x14ac:dyDescent="0.2">
      <c r="A169" s="414" t="s">
        <v>498</v>
      </c>
      <c r="B169" s="414"/>
      <c r="C169" s="414"/>
      <c r="D169" s="414"/>
      <c r="E169" s="414"/>
      <c r="F169" s="414"/>
      <c r="G169" s="414"/>
      <c r="H169" s="414"/>
      <c r="I169" s="414" t="s">
        <v>499</v>
      </c>
      <c r="J169" s="414"/>
      <c r="K169" s="414"/>
      <c r="L169" s="414"/>
      <c r="M169" s="414"/>
      <c r="N169" s="414"/>
      <c r="O169" s="414"/>
      <c r="P169" s="414"/>
      <c r="Q169" s="490" t="s">
        <v>500</v>
      </c>
      <c r="R169" s="490"/>
      <c r="S169" s="490"/>
      <c r="T169" s="490"/>
      <c r="U169" s="490"/>
      <c r="V169" s="490"/>
      <c r="W169" s="490"/>
      <c r="X169" s="490"/>
      <c r="Y169" s="414" t="s">
        <v>501</v>
      </c>
      <c r="Z169" s="414"/>
      <c r="AA169" s="414"/>
      <c r="AB169" s="414"/>
      <c r="AC169" s="414"/>
      <c r="AD169" s="414"/>
      <c r="AE169" s="414"/>
      <c r="AF169" s="414"/>
      <c r="AG169" s="414" t="s">
        <v>460</v>
      </c>
      <c r="AH169" s="414"/>
      <c r="AI169" s="414"/>
      <c r="AJ169" s="414"/>
      <c r="AK169" s="414"/>
      <c r="AL169" s="414"/>
      <c r="AM169" s="414"/>
      <c r="AN169" s="414"/>
    </row>
    <row r="170" spans="1:40" ht="18.95" customHeight="1" x14ac:dyDescent="0.2">
      <c r="A170" s="462" t="s">
        <v>913</v>
      </c>
      <c r="B170" s="482"/>
      <c r="C170" s="482"/>
      <c r="D170" s="482"/>
      <c r="E170" s="482"/>
      <c r="F170" s="482"/>
      <c r="G170" s="482"/>
      <c r="H170" s="482"/>
      <c r="I170" s="473" t="s">
        <v>914</v>
      </c>
      <c r="J170" s="465"/>
      <c r="K170" s="465"/>
      <c r="L170" s="465"/>
      <c r="M170" s="465"/>
      <c r="N170" s="465"/>
      <c r="O170" s="465"/>
      <c r="P170" s="465"/>
      <c r="Q170" s="473" t="s">
        <v>915</v>
      </c>
      <c r="R170" s="465"/>
      <c r="S170" s="465"/>
      <c r="T170" s="465"/>
      <c r="U170" s="465"/>
      <c r="V170" s="465"/>
      <c r="W170" s="465"/>
      <c r="X170" s="465"/>
      <c r="Y170" s="473" t="s">
        <v>916</v>
      </c>
      <c r="Z170" s="465"/>
      <c r="AA170" s="465"/>
      <c r="AB170" s="465"/>
      <c r="AC170" s="465"/>
      <c r="AD170" s="465"/>
      <c r="AE170" s="465"/>
      <c r="AF170" s="465"/>
      <c r="AG170" s="473" t="s">
        <v>1019</v>
      </c>
      <c r="AH170" s="465"/>
      <c r="AI170" s="465"/>
      <c r="AJ170" s="465"/>
      <c r="AK170" s="465"/>
      <c r="AL170" s="465"/>
      <c r="AM170" s="465"/>
      <c r="AN170" s="465"/>
    </row>
    <row r="171" spans="1:40" ht="18.95" customHeight="1" x14ac:dyDescent="0.2">
      <c r="A171" s="473" t="s">
        <v>502</v>
      </c>
      <c r="B171" s="473"/>
      <c r="C171" s="473"/>
      <c r="D171" s="473"/>
      <c r="E171" s="473"/>
      <c r="F171" s="473"/>
      <c r="G171" s="473"/>
      <c r="H171" s="473"/>
      <c r="I171" s="473" t="s">
        <v>503</v>
      </c>
      <c r="J171" s="473"/>
      <c r="K171" s="473"/>
      <c r="L171" s="473"/>
      <c r="M171" s="473"/>
      <c r="N171" s="473"/>
      <c r="O171" s="473"/>
      <c r="P171" s="473"/>
      <c r="Q171" s="473" t="s">
        <v>504</v>
      </c>
      <c r="R171" s="473"/>
      <c r="S171" s="473"/>
      <c r="T171" s="473"/>
      <c r="U171" s="473"/>
      <c r="V171" s="473"/>
      <c r="W171" s="473"/>
      <c r="X171" s="473"/>
      <c r="Y171" s="473" t="s">
        <v>505</v>
      </c>
      <c r="Z171" s="473"/>
      <c r="AA171" s="473"/>
      <c r="AB171" s="473"/>
      <c r="AC171" s="473"/>
      <c r="AD171" s="473"/>
      <c r="AE171" s="473"/>
      <c r="AF171" s="473"/>
      <c r="AG171" s="473" t="s">
        <v>1020</v>
      </c>
      <c r="AH171" s="473"/>
      <c r="AI171" s="473"/>
      <c r="AJ171" s="473"/>
      <c r="AK171" s="473"/>
      <c r="AL171" s="473"/>
      <c r="AM171" s="473"/>
      <c r="AN171" s="473"/>
    </row>
    <row r="172" spans="1:40" ht="18.95" customHeight="1" x14ac:dyDescent="0.2">
      <c r="A172" s="465" t="s">
        <v>189</v>
      </c>
      <c r="B172" s="465"/>
      <c r="C172" s="465"/>
      <c r="D172" s="465"/>
      <c r="E172" s="465"/>
      <c r="F172" s="465"/>
      <c r="G172" s="465"/>
      <c r="H172" s="465"/>
      <c r="I172" s="465" t="s">
        <v>189</v>
      </c>
      <c r="J172" s="465"/>
      <c r="K172" s="465"/>
      <c r="L172" s="465"/>
      <c r="M172" s="465"/>
      <c r="N172" s="465"/>
      <c r="O172" s="465"/>
      <c r="P172" s="465"/>
      <c r="Q172" s="465" t="s">
        <v>189</v>
      </c>
      <c r="R172" s="465"/>
      <c r="S172" s="465"/>
      <c r="T172" s="465"/>
      <c r="U172" s="465"/>
      <c r="V172" s="465"/>
      <c r="W172" s="465"/>
      <c r="X172" s="465"/>
      <c r="Y172" s="465" t="s">
        <v>189</v>
      </c>
      <c r="Z172" s="465"/>
      <c r="AA172" s="465"/>
      <c r="AB172" s="465"/>
      <c r="AC172" s="465"/>
      <c r="AD172" s="465"/>
      <c r="AE172" s="465"/>
      <c r="AF172" s="465"/>
      <c r="AG172" s="465" t="s">
        <v>189</v>
      </c>
      <c r="AH172" s="465"/>
      <c r="AI172" s="465"/>
      <c r="AJ172" s="465"/>
      <c r="AK172" s="465"/>
      <c r="AL172" s="465"/>
      <c r="AM172" s="465"/>
      <c r="AN172" s="465"/>
    </row>
    <row r="173" spans="1:40" ht="18.95" customHeight="1" x14ac:dyDescent="0.2">
      <c r="A173" s="465" t="s">
        <v>190</v>
      </c>
      <c r="B173" s="465"/>
      <c r="C173" s="465"/>
      <c r="D173" s="465"/>
      <c r="E173" s="465"/>
      <c r="F173" s="465"/>
      <c r="G173" s="465"/>
      <c r="H173" s="465"/>
      <c r="I173" s="465" t="s">
        <v>190</v>
      </c>
      <c r="J173" s="465"/>
      <c r="K173" s="465"/>
      <c r="L173" s="465"/>
      <c r="M173" s="465"/>
      <c r="N173" s="465"/>
      <c r="O173" s="465"/>
      <c r="P173" s="465"/>
      <c r="Q173" s="465" t="s">
        <v>190</v>
      </c>
      <c r="R173" s="465"/>
      <c r="S173" s="465"/>
      <c r="T173" s="465"/>
      <c r="U173" s="465"/>
      <c r="V173" s="465"/>
      <c r="W173" s="465"/>
      <c r="X173" s="465"/>
      <c r="Y173" s="465" t="s">
        <v>190</v>
      </c>
      <c r="Z173" s="465"/>
      <c r="AA173" s="465"/>
      <c r="AB173" s="465"/>
      <c r="AC173" s="465"/>
      <c r="AD173" s="465"/>
      <c r="AE173" s="465"/>
      <c r="AF173" s="465"/>
      <c r="AG173" s="465" t="s">
        <v>190</v>
      </c>
      <c r="AH173" s="465"/>
      <c r="AI173" s="465"/>
      <c r="AJ173" s="465"/>
      <c r="AK173" s="465"/>
      <c r="AL173" s="465"/>
      <c r="AM173" s="465"/>
      <c r="AN173" s="465"/>
    </row>
    <row r="174" spans="1:40" ht="18.95" customHeight="1" x14ac:dyDescent="0.2">
      <c r="C174" s="148"/>
      <c r="K174" s="148"/>
      <c r="S174" s="148"/>
      <c r="AA174" s="148"/>
      <c r="AI174" s="268"/>
    </row>
    <row r="175" spans="1:40" ht="18.95" customHeight="1" x14ac:dyDescent="0.2">
      <c r="B175" s="466" t="s">
        <v>174</v>
      </c>
      <c r="C175" s="467"/>
      <c r="D175" s="412" t="s">
        <v>179</v>
      </c>
      <c r="E175" s="412"/>
      <c r="F175" s="412"/>
      <c r="G175" s="412"/>
      <c r="J175" s="466" t="s">
        <v>174</v>
      </c>
      <c r="K175" s="467"/>
      <c r="L175" s="412" t="s">
        <v>179</v>
      </c>
      <c r="M175" s="412"/>
      <c r="N175" s="412"/>
      <c r="O175" s="412"/>
      <c r="R175" s="466" t="s">
        <v>174</v>
      </c>
      <c r="S175" s="467"/>
      <c r="T175" s="412" t="s">
        <v>179</v>
      </c>
      <c r="U175" s="412"/>
      <c r="V175" s="412"/>
      <c r="W175" s="412"/>
      <c r="Z175" s="466" t="s">
        <v>174</v>
      </c>
      <c r="AA175" s="467"/>
      <c r="AB175" s="412" t="s">
        <v>179</v>
      </c>
      <c r="AC175" s="412"/>
      <c r="AD175" s="412"/>
      <c r="AE175" s="412"/>
      <c r="AH175" s="466" t="s">
        <v>174</v>
      </c>
      <c r="AI175" s="467"/>
      <c r="AJ175" s="412" t="s">
        <v>179</v>
      </c>
      <c r="AK175" s="412"/>
      <c r="AL175" s="412"/>
      <c r="AM175" s="412"/>
    </row>
    <row r="176" spans="1:40" ht="18.95" customHeight="1" x14ac:dyDescent="0.2">
      <c r="B176" s="468"/>
      <c r="C176" s="469"/>
      <c r="D176" s="412" t="s">
        <v>177</v>
      </c>
      <c r="E176" s="412"/>
      <c r="F176" s="412" t="s">
        <v>178</v>
      </c>
      <c r="G176" s="412"/>
      <c r="J176" s="468"/>
      <c r="K176" s="469"/>
      <c r="L176" s="412" t="s">
        <v>177</v>
      </c>
      <c r="M176" s="412"/>
      <c r="N176" s="412" t="s">
        <v>178</v>
      </c>
      <c r="O176" s="412"/>
      <c r="R176" s="468"/>
      <c r="S176" s="469"/>
      <c r="T176" s="412" t="s">
        <v>177</v>
      </c>
      <c r="U176" s="412"/>
      <c r="V176" s="412" t="s">
        <v>178</v>
      </c>
      <c r="W176" s="412"/>
      <c r="Z176" s="468"/>
      <c r="AA176" s="469"/>
      <c r="AB176" s="412" t="s">
        <v>177</v>
      </c>
      <c r="AC176" s="412"/>
      <c r="AD176" s="412" t="s">
        <v>178</v>
      </c>
      <c r="AE176" s="412"/>
      <c r="AH176" s="468"/>
      <c r="AI176" s="469"/>
      <c r="AJ176" s="412" t="s">
        <v>177</v>
      </c>
      <c r="AK176" s="412"/>
      <c r="AL176" s="412" t="s">
        <v>178</v>
      </c>
      <c r="AM176" s="412"/>
    </row>
    <row r="177" spans="1:40" ht="18.95" customHeight="1" x14ac:dyDescent="0.2">
      <c r="B177" s="470"/>
      <c r="C177" s="471"/>
      <c r="D177" s="147" t="s">
        <v>175</v>
      </c>
      <c r="E177" s="147" t="s">
        <v>176</v>
      </c>
      <c r="F177" s="147" t="s">
        <v>175</v>
      </c>
      <c r="G177" s="147" t="s">
        <v>176</v>
      </c>
      <c r="J177" s="470"/>
      <c r="K177" s="471"/>
      <c r="L177" s="147" t="s">
        <v>175</v>
      </c>
      <c r="M177" s="147" t="s">
        <v>176</v>
      </c>
      <c r="N177" s="147" t="s">
        <v>175</v>
      </c>
      <c r="O177" s="147" t="s">
        <v>176</v>
      </c>
      <c r="R177" s="470"/>
      <c r="S177" s="471"/>
      <c r="T177" s="147" t="s">
        <v>175</v>
      </c>
      <c r="U177" s="147" t="s">
        <v>176</v>
      </c>
      <c r="V177" s="147" t="s">
        <v>175</v>
      </c>
      <c r="W177" s="147" t="s">
        <v>176</v>
      </c>
      <c r="Z177" s="470"/>
      <c r="AA177" s="471"/>
      <c r="AB177" s="147" t="s">
        <v>175</v>
      </c>
      <c r="AC177" s="147" t="s">
        <v>176</v>
      </c>
      <c r="AD177" s="147" t="s">
        <v>175</v>
      </c>
      <c r="AE177" s="147" t="s">
        <v>176</v>
      </c>
      <c r="AH177" s="470"/>
      <c r="AI177" s="471"/>
      <c r="AJ177" s="264" t="s">
        <v>175</v>
      </c>
      <c r="AK177" s="264" t="s">
        <v>176</v>
      </c>
      <c r="AL177" s="264" t="s">
        <v>175</v>
      </c>
      <c r="AM177" s="264" t="s">
        <v>176</v>
      </c>
    </row>
    <row r="178" spans="1:40" ht="18.95" customHeight="1" x14ac:dyDescent="0.2">
      <c r="B178" s="455" t="s">
        <v>520</v>
      </c>
      <c r="C178" s="456"/>
      <c r="D178" s="106">
        <v>196.2</v>
      </c>
      <c r="E178" s="106">
        <f>75*E184/50</f>
        <v>135</v>
      </c>
      <c r="F178" s="106">
        <f>D178*100</f>
        <v>19620</v>
      </c>
      <c r="G178" s="106">
        <f>E178*100</f>
        <v>13500</v>
      </c>
      <c r="J178" s="455" t="s">
        <v>985</v>
      </c>
      <c r="K178" s="456"/>
      <c r="L178" s="41"/>
      <c r="M178" s="41">
        <v>68.5</v>
      </c>
      <c r="N178" s="41"/>
      <c r="O178" s="41">
        <f t="shared" ref="O178:O188" si="30">M178*100</f>
        <v>6850</v>
      </c>
      <c r="R178" s="455" t="s">
        <v>520</v>
      </c>
      <c r="S178" s="456"/>
      <c r="T178" s="106">
        <f>109*U188/150</f>
        <v>65.400000000000006</v>
      </c>
      <c r="U178" s="106">
        <f>75*U188/150</f>
        <v>45</v>
      </c>
      <c r="V178" s="106">
        <f>T178*100</f>
        <v>6540.0000000000009</v>
      </c>
      <c r="W178" s="106">
        <f>U178*100</f>
        <v>4500</v>
      </c>
      <c r="Z178" s="455" t="s">
        <v>520</v>
      </c>
      <c r="AA178" s="456"/>
      <c r="AB178" s="41">
        <f>77*AC189/55</f>
        <v>126</v>
      </c>
      <c r="AC178" s="41">
        <f>37*AC189/55</f>
        <v>60.545454545454547</v>
      </c>
      <c r="AD178" s="41">
        <f>AB178*100</f>
        <v>12600</v>
      </c>
      <c r="AE178" s="41">
        <f>AC178*100</f>
        <v>6054.545454545455</v>
      </c>
      <c r="AH178" s="455" t="s">
        <v>1021</v>
      </c>
      <c r="AI178" s="456"/>
      <c r="AJ178" s="41">
        <v>110</v>
      </c>
      <c r="AK178" s="41">
        <v>90</v>
      </c>
      <c r="AL178" s="41">
        <f t="shared" ref="AL178:AM181" si="31">AJ178*100</f>
        <v>11000</v>
      </c>
      <c r="AM178" s="41">
        <f t="shared" si="31"/>
        <v>9000</v>
      </c>
    </row>
    <row r="179" spans="1:40" ht="18.95" customHeight="1" x14ac:dyDescent="0.2">
      <c r="B179" s="455" t="s">
        <v>207</v>
      </c>
      <c r="C179" s="456"/>
      <c r="D179" s="106">
        <f>2*E184/50</f>
        <v>3.6</v>
      </c>
      <c r="E179" s="106">
        <f>2*E184/50</f>
        <v>3.6</v>
      </c>
      <c r="F179" s="106">
        <f>D179*100</f>
        <v>360</v>
      </c>
      <c r="G179" s="106">
        <f>E179*100</f>
        <v>360</v>
      </c>
      <c r="J179" s="455" t="s">
        <v>207</v>
      </c>
      <c r="K179" s="456"/>
      <c r="L179" s="41">
        <f>7*M187/100</f>
        <v>10.5</v>
      </c>
      <c r="M179" s="41">
        <f>7*M187/100</f>
        <v>10.5</v>
      </c>
      <c r="N179" s="41">
        <f>L179*100</f>
        <v>1050</v>
      </c>
      <c r="O179" s="41">
        <f t="shared" si="30"/>
        <v>1050</v>
      </c>
      <c r="R179" s="455" t="s">
        <v>207</v>
      </c>
      <c r="S179" s="456"/>
      <c r="T179" s="106">
        <f>6*U188/150</f>
        <v>3.6</v>
      </c>
      <c r="U179" s="106">
        <f>6*U188/150</f>
        <v>3.6</v>
      </c>
      <c r="V179" s="106">
        <f t="shared" ref="V179:V184" si="32">T179*100</f>
        <v>360</v>
      </c>
      <c r="W179" s="106">
        <f t="shared" ref="W179:W188" si="33">U179*100</f>
        <v>360</v>
      </c>
      <c r="Z179" s="455" t="s">
        <v>413</v>
      </c>
      <c r="AA179" s="456"/>
      <c r="AB179" s="41">
        <f>9*AC189/55</f>
        <v>14.727272727272727</v>
      </c>
      <c r="AC179" s="41">
        <f>9*AC189/55</f>
        <v>14.727272727272727</v>
      </c>
      <c r="AD179" s="41">
        <f t="shared" ref="AD179:AD188" si="34">AB179*100</f>
        <v>1472.7272727272727</v>
      </c>
      <c r="AE179" s="41">
        <f t="shared" ref="AE179:AE189" si="35">AC179*100</f>
        <v>1472.7272727272727</v>
      </c>
      <c r="AH179" s="455" t="s">
        <v>207</v>
      </c>
      <c r="AI179" s="456"/>
      <c r="AJ179" s="41">
        <v>4.91</v>
      </c>
      <c r="AK179" s="41">
        <v>4.91</v>
      </c>
      <c r="AL179" s="41">
        <f t="shared" si="31"/>
        <v>491</v>
      </c>
      <c r="AM179" s="41">
        <f t="shared" si="31"/>
        <v>491</v>
      </c>
    </row>
    <row r="180" spans="1:40" ht="18.95" customHeight="1" x14ac:dyDescent="0.2">
      <c r="B180" s="455" t="s">
        <v>476</v>
      </c>
      <c r="C180" s="456"/>
      <c r="D180" s="41"/>
      <c r="E180" s="41">
        <v>4</v>
      </c>
      <c r="F180" s="41"/>
      <c r="G180" s="41">
        <f>E180*100</f>
        <v>400</v>
      </c>
      <c r="J180" s="455" t="s">
        <v>211</v>
      </c>
      <c r="K180" s="456"/>
      <c r="L180" s="41">
        <f>8*M187/100</f>
        <v>12</v>
      </c>
      <c r="M180" s="41">
        <v>10.5</v>
      </c>
      <c r="N180" s="41">
        <f>L180*100</f>
        <v>1200</v>
      </c>
      <c r="O180" s="41">
        <f t="shared" si="30"/>
        <v>1050</v>
      </c>
      <c r="R180" s="455" t="s">
        <v>249</v>
      </c>
      <c r="S180" s="456"/>
      <c r="T180" s="106">
        <f>67*U188/150</f>
        <v>40.200000000000003</v>
      </c>
      <c r="U180" s="106">
        <f>50*U188/150</f>
        <v>30</v>
      </c>
      <c r="V180" s="106">
        <f t="shared" si="32"/>
        <v>4020.0000000000005</v>
      </c>
      <c r="W180" s="106">
        <f t="shared" si="33"/>
        <v>3000</v>
      </c>
      <c r="Z180" s="455" t="s">
        <v>414</v>
      </c>
      <c r="AA180" s="456"/>
      <c r="AB180" s="41">
        <f>13*AC189/55</f>
        <v>21.272727272727273</v>
      </c>
      <c r="AC180" s="41">
        <f>13*AC189/55</f>
        <v>21.272727272727273</v>
      </c>
      <c r="AD180" s="41">
        <f t="shared" si="34"/>
        <v>2127.2727272727275</v>
      </c>
      <c r="AE180" s="41">
        <f t="shared" si="35"/>
        <v>2127.2727272727275</v>
      </c>
      <c r="AH180" s="455" t="s">
        <v>1022</v>
      </c>
      <c r="AI180" s="456"/>
      <c r="AJ180" s="41">
        <v>10</v>
      </c>
      <c r="AK180" s="41">
        <v>10</v>
      </c>
      <c r="AL180" s="41">
        <f t="shared" si="31"/>
        <v>1000</v>
      </c>
      <c r="AM180" s="41">
        <f t="shared" si="31"/>
        <v>1000</v>
      </c>
    </row>
    <row r="181" spans="1:40" ht="18.95" customHeight="1" x14ac:dyDescent="0.2">
      <c r="B181" s="455" t="s">
        <v>640</v>
      </c>
      <c r="C181" s="456"/>
      <c r="D181" s="41"/>
      <c r="E181" s="41">
        <v>0.02</v>
      </c>
      <c r="F181" s="41"/>
      <c r="G181" s="41">
        <f>E181*100</f>
        <v>2</v>
      </c>
      <c r="J181" s="455" t="s">
        <v>246</v>
      </c>
      <c r="K181" s="456"/>
      <c r="L181" s="41">
        <v>15.96</v>
      </c>
      <c r="M181" s="41">
        <f>8*M187/100</f>
        <v>12</v>
      </c>
      <c r="N181" s="41">
        <f>L181*100</f>
        <v>1596</v>
      </c>
      <c r="O181" s="41">
        <f t="shared" si="30"/>
        <v>1200</v>
      </c>
      <c r="R181" s="455" t="s">
        <v>246</v>
      </c>
      <c r="S181" s="456"/>
      <c r="T181" s="106">
        <f>29*U188/150</f>
        <v>17.399999999999999</v>
      </c>
      <c r="U181" s="106">
        <f>23*U188/150</f>
        <v>13.8</v>
      </c>
      <c r="V181" s="106">
        <f t="shared" si="32"/>
        <v>1739.9999999999998</v>
      </c>
      <c r="W181" s="106">
        <f t="shared" si="33"/>
        <v>1380</v>
      </c>
      <c r="Z181" s="455" t="s">
        <v>534</v>
      </c>
      <c r="AA181" s="456"/>
      <c r="AB181" s="41">
        <f>2*AC189/55</f>
        <v>3.2727272727272729</v>
      </c>
      <c r="AC181" s="41">
        <f>2*AC189/55</f>
        <v>3.2727272727272729</v>
      </c>
      <c r="AD181" s="41">
        <f t="shared" si="34"/>
        <v>327.27272727272731</v>
      </c>
      <c r="AE181" s="41">
        <f t="shared" si="35"/>
        <v>327.27272727272731</v>
      </c>
      <c r="AH181" s="455" t="s">
        <v>1023</v>
      </c>
      <c r="AI181" s="456"/>
      <c r="AJ181" s="41">
        <v>50</v>
      </c>
      <c r="AK181" s="41">
        <v>50</v>
      </c>
      <c r="AL181" s="41">
        <f t="shared" si="31"/>
        <v>5000</v>
      </c>
      <c r="AM181" s="41">
        <f t="shared" si="31"/>
        <v>5000</v>
      </c>
    </row>
    <row r="182" spans="1:40" ht="18.95" customHeight="1" x14ac:dyDescent="0.2">
      <c r="B182" s="455" t="s">
        <v>523</v>
      </c>
      <c r="C182" s="456"/>
      <c r="D182" s="106"/>
      <c r="E182" s="106">
        <v>90</v>
      </c>
      <c r="F182" s="106"/>
      <c r="G182" s="106">
        <f>E182*100</f>
        <v>9000</v>
      </c>
      <c r="J182" s="455" t="s">
        <v>975</v>
      </c>
      <c r="K182" s="456"/>
      <c r="L182" s="41">
        <v>0.3</v>
      </c>
      <c r="M182" s="41">
        <v>0.3</v>
      </c>
      <c r="N182" s="41">
        <f>L182*100</f>
        <v>30</v>
      </c>
      <c r="O182" s="41">
        <f t="shared" si="30"/>
        <v>30</v>
      </c>
      <c r="R182" s="455" t="s">
        <v>399</v>
      </c>
      <c r="S182" s="456"/>
      <c r="T182" s="106">
        <f>3*U188/150</f>
        <v>1.8</v>
      </c>
      <c r="U182" s="106">
        <f>2*U188/150</f>
        <v>1.2</v>
      </c>
      <c r="V182" s="106">
        <f t="shared" si="32"/>
        <v>180</v>
      </c>
      <c r="W182" s="106">
        <f t="shared" si="33"/>
        <v>120</v>
      </c>
      <c r="Z182" s="455" t="s">
        <v>415</v>
      </c>
      <c r="AA182" s="456"/>
      <c r="AB182" s="41">
        <f>5*AC189/55</f>
        <v>8.1818181818181817</v>
      </c>
      <c r="AC182" s="41">
        <f>5*AC189/55</f>
        <v>8.1818181818181817</v>
      </c>
      <c r="AD182" s="41">
        <f t="shared" si="34"/>
        <v>818.18181818181813</v>
      </c>
      <c r="AE182" s="41">
        <f t="shared" si="35"/>
        <v>818.18181818181813</v>
      </c>
      <c r="AH182" s="455"/>
      <c r="AI182" s="456"/>
      <c r="AJ182" s="41"/>
      <c r="AK182" s="41"/>
      <c r="AL182" s="41"/>
      <c r="AM182" s="41"/>
    </row>
    <row r="183" spans="1:40" ht="18.95" customHeight="1" x14ac:dyDescent="0.2">
      <c r="B183" s="455" t="s">
        <v>526</v>
      </c>
      <c r="C183" s="456"/>
      <c r="D183" s="106"/>
      <c r="E183" s="106">
        <v>50</v>
      </c>
      <c r="F183" s="106"/>
      <c r="G183" s="106">
        <f>E183*100</f>
        <v>5000</v>
      </c>
      <c r="J183" s="455" t="s">
        <v>472</v>
      </c>
      <c r="K183" s="456"/>
      <c r="L183" s="41">
        <f>35*M187/100</f>
        <v>52.5</v>
      </c>
      <c r="M183" s="41">
        <f>35*M187/100</f>
        <v>52.5</v>
      </c>
      <c r="N183" s="41">
        <f>L183*100</f>
        <v>5250</v>
      </c>
      <c r="O183" s="41">
        <f t="shared" si="30"/>
        <v>5250</v>
      </c>
      <c r="R183" s="455" t="s">
        <v>211</v>
      </c>
      <c r="S183" s="456"/>
      <c r="T183" s="106">
        <f>12*U188/150</f>
        <v>7.2</v>
      </c>
      <c r="U183" s="106">
        <f>10*U188/150</f>
        <v>6</v>
      </c>
      <c r="V183" s="106">
        <f t="shared" si="32"/>
        <v>720</v>
      </c>
      <c r="W183" s="106">
        <f t="shared" si="33"/>
        <v>600</v>
      </c>
      <c r="Z183" s="455" t="s">
        <v>535</v>
      </c>
      <c r="AA183" s="456"/>
      <c r="AB183" s="41">
        <f>11*AC189/55</f>
        <v>18</v>
      </c>
      <c r="AC183" s="41">
        <f>10*AC189/55</f>
        <v>16.363636363636363</v>
      </c>
      <c r="AD183" s="41">
        <f t="shared" si="34"/>
        <v>1800</v>
      </c>
      <c r="AE183" s="41">
        <f t="shared" si="35"/>
        <v>1636.3636363636363</v>
      </c>
      <c r="AH183" s="455"/>
      <c r="AI183" s="456"/>
      <c r="AJ183" s="41"/>
      <c r="AK183" s="41"/>
      <c r="AL183" s="41"/>
      <c r="AM183" s="41"/>
    </row>
    <row r="184" spans="1:40" ht="18.95" customHeight="1" x14ac:dyDescent="0.2">
      <c r="B184" s="457" t="s">
        <v>180</v>
      </c>
      <c r="C184" s="458"/>
      <c r="D184" s="118"/>
      <c r="E184" s="106">
        <f>мясо!B47</f>
        <v>90</v>
      </c>
      <c r="F184" s="106"/>
      <c r="G184" s="106">
        <f>E184*100</f>
        <v>9000</v>
      </c>
      <c r="J184" s="455" t="s">
        <v>476</v>
      </c>
      <c r="K184" s="456"/>
      <c r="L184" s="41"/>
      <c r="M184" s="41">
        <v>4</v>
      </c>
      <c r="N184" s="41"/>
      <c r="O184" s="41">
        <f t="shared" si="30"/>
        <v>400</v>
      </c>
      <c r="R184" s="463" t="s">
        <v>531</v>
      </c>
      <c r="S184" s="464"/>
      <c r="T184" s="106">
        <f>8*U188/150</f>
        <v>4.8</v>
      </c>
      <c r="U184" s="106">
        <f>5*U188/150</f>
        <v>3</v>
      </c>
      <c r="V184" s="106">
        <f t="shared" si="32"/>
        <v>480</v>
      </c>
      <c r="W184" s="106">
        <f t="shared" si="33"/>
        <v>300</v>
      </c>
      <c r="Z184" s="463" t="s">
        <v>536</v>
      </c>
      <c r="AA184" s="464"/>
      <c r="AB184" s="41"/>
      <c r="AC184" s="41">
        <f>63*AC189/55</f>
        <v>103.09090909090909</v>
      </c>
      <c r="AD184" s="41"/>
      <c r="AE184" s="41">
        <f t="shared" si="35"/>
        <v>10309.09090909091</v>
      </c>
      <c r="AH184" s="463"/>
      <c r="AI184" s="464"/>
      <c r="AJ184" s="41"/>
      <c r="AK184" s="41"/>
      <c r="AL184" s="41"/>
      <c r="AM184" s="41"/>
    </row>
    <row r="185" spans="1:40" ht="18.95" customHeight="1" x14ac:dyDescent="0.2">
      <c r="J185" s="455" t="s">
        <v>640</v>
      </c>
      <c r="K185" s="456"/>
      <c r="L185" s="41"/>
      <c r="M185" s="41">
        <v>0.02</v>
      </c>
      <c r="N185" s="41"/>
      <c r="O185" s="41">
        <f t="shared" si="30"/>
        <v>2</v>
      </c>
      <c r="R185" s="455" t="s">
        <v>532</v>
      </c>
      <c r="S185" s="456"/>
      <c r="T185" s="106"/>
      <c r="U185" s="106">
        <f>50*U188/150</f>
        <v>30</v>
      </c>
      <c r="V185" s="106"/>
      <c r="W185" s="106">
        <f t="shared" si="33"/>
        <v>3000</v>
      </c>
      <c r="Z185" s="455" t="s">
        <v>537</v>
      </c>
      <c r="AA185" s="456"/>
      <c r="AB185" s="41"/>
      <c r="AC185" s="41">
        <f>68*AC189/55</f>
        <v>111.27272727272727</v>
      </c>
      <c r="AD185" s="41"/>
      <c r="AE185" s="41">
        <f t="shared" si="35"/>
        <v>11127.272727272726</v>
      </c>
      <c r="AH185" s="455"/>
      <c r="AI185" s="456"/>
      <c r="AJ185" s="41"/>
      <c r="AK185" s="41"/>
      <c r="AL185" s="41"/>
      <c r="AM185" s="41"/>
    </row>
    <row r="186" spans="1:40" ht="18.95" customHeight="1" x14ac:dyDescent="0.2">
      <c r="A186" s="459" t="s">
        <v>181</v>
      </c>
      <c r="B186" s="459"/>
      <c r="C186" s="459"/>
      <c r="D186" s="459"/>
      <c r="E186" s="459"/>
      <c r="F186" s="459"/>
      <c r="G186" s="459"/>
      <c r="H186" s="459"/>
      <c r="J186" s="455" t="s">
        <v>528</v>
      </c>
      <c r="K186" s="456"/>
      <c r="L186" s="41"/>
      <c r="M186" s="41">
        <v>50</v>
      </c>
      <c r="N186" s="41"/>
      <c r="O186" s="41">
        <f t="shared" si="30"/>
        <v>5000</v>
      </c>
      <c r="R186" s="455" t="s">
        <v>528</v>
      </c>
      <c r="S186" s="456"/>
      <c r="T186" s="106"/>
      <c r="U186" s="106">
        <f>50*U188/150</f>
        <v>30</v>
      </c>
      <c r="V186" s="106"/>
      <c r="W186" s="106">
        <f t="shared" si="33"/>
        <v>3000</v>
      </c>
      <c r="Z186" s="455" t="s">
        <v>207</v>
      </c>
      <c r="AA186" s="456"/>
      <c r="AB186" s="41">
        <f>3*AC189/55</f>
        <v>4.9090909090909092</v>
      </c>
      <c r="AC186" s="41">
        <f>3*AC189/55</f>
        <v>4.9090909090909092</v>
      </c>
      <c r="AD186" s="41">
        <f t="shared" si="34"/>
        <v>490.90909090909093</v>
      </c>
      <c r="AE186" s="41">
        <f t="shared" si="35"/>
        <v>490.90909090909093</v>
      </c>
      <c r="AH186" s="269"/>
      <c r="AI186" s="270"/>
      <c r="AJ186" s="41"/>
      <c r="AK186" s="41"/>
      <c r="AL186" s="41"/>
      <c r="AM186" s="41"/>
    </row>
    <row r="187" spans="1:40" ht="18.95" customHeight="1" x14ac:dyDescent="0.2">
      <c r="A187" s="228" t="s">
        <v>182</v>
      </c>
      <c r="B187" s="228" t="s">
        <v>106</v>
      </c>
      <c r="C187" s="229" t="s">
        <v>107</v>
      </c>
      <c r="D187" s="230" t="s">
        <v>187</v>
      </c>
      <c r="E187" s="228" t="s">
        <v>183</v>
      </c>
      <c r="F187" s="228" t="s">
        <v>184</v>
      </c>
      <c r="G187" s="228" t="s">
        <v>185</v>
      </c>
      <c r="H187" s="235" t="s">
        <v>186</v>
      </c>
      <c r="J187" s="463" t="s">
        <v>529</v>
      </c>
      <c r="K187" s="464"/>
      <c r="L187" s="41"/>
      <c r="M187" s="41">
        <v>150</v>
      </c>
      <c r="N187" s="41"/>
      <c r="O187" s="41">
        <f t="shared" si="30"/>
        <v>15000</v>
      </c>
      <c r="R187" s="455" t="s">
        <v>524</v>
      </c>
      <c r="S187" s="456"/>
      <c r="T187" s="106"/>
      <c r="U187" s="106">
        <f>100*U188/150</f>
        <v>60</v>
      </c>
      <c r="V187" s="106"/>
      <c r="W187" s="106">
        <f t="shared" si="33"/>
        <v>6000</v>
      </c>
      <c r="Z187" s="455" t="s">
        <v>538</v>
      </c>
      <c r="AA187" s="456"/>
      <c r="AB187" s="41"/>
      <c r="AC187" s="41">
        <v>90</v>
      </c>
      <c r="AD187" s="41"/>
      <c r="AE187" s="41">
        <v>900</v>
      </c>
      <c r="AH187" s="498" t="s">
        <v>180</v>
      </c>
      <c r="AI187" s="499"/>
      <c r="AJ187" s="118" t="s">
        <v>1025</v>
      </c>
      <c r="AK187" s="106" t="s">
        <v>1024</v>
      </c>
      <c r="AL187" s="106" t="s">
        <v>1025</v>
      </c>
      <c r="AM187" s="106" t="s">
        <v>1024</v>
      </c>
    </row>
    <row r="188" spans="1:40" ht="18.95" customHeight="1" x14ac:dyDescent="0.2">
      <c r="A188" s="41">
        <f>мясо!E47</f>
        <v>11.952</v>
      </c>
      <c r="B188" s="41">
        <f>мясо!F47</f>
        <v>9.7560000000000002</v>
      </c>
      <c r="C188" s="41">
        <f>мясо!G47</f>
        <v>2.61</v>
      </c>
      <c r="D188" s="41">
        <f>мясо!H47</f>
        <v>145.80000000000001</v>
      </c>
      <c r="E188" s="41">
        <f>мясо!M47</f>
        <v>26.568000000000001</v>
      </c>
      <c r="F188" s="41">
        <f>мясо!O47</f>
        <v>12.654000000000002</v>
      </c>
      <c r="G188" s="41">
        <f>мясо!P47</f>
        <v>0.54899999999999993</v>
      </c>
      <c r="H188" s="41">
        <f>мясо!J47</f>
        <v>0.31499999999999995</v>
      </c>
      <c r="J188" s="457" t="s">
        <v>180</v>
      </c>
      <c r="K188" s="458"/>
      <c r="L188" s="118"/>
      <c r="M188" s="106">
        <f>мясо!B49</f>
        <v>200</v>
      </c>
      <c r="N188" s="118"/>
      <c r="O188" s="106">
        <f t="shared" si="30"/>
        <v>20000</v>
      </c>
      <c r="R188" s="457" t="s">
        <v>180</v>
      </c>
      <c r="S188" s="458"/>
      <c r="T188" s="118"/>
      <c r="U188" s="106">
        <f>мясо!B51</f>
        <v>90</v>
      </c>
      <c r="V188" s="118"/>
      <c r="W188" s="106">
        <f t="shared" si="33"/>
        <v>9000</v>
      </c>
      <c r="Z188" s="455" t="s">
        <v>191</v>
      </c>
      <c r="AA188" s="456"/>
      <c r="AB188" s="41">
        <v>10</v>
      </c>
      <c r="AC188" s="41">
        <v>10</v>
      </c>
      <c r="AD188" s="41">
        <f t="shared" si="34"/>
        <v>1000</v>
      </c>
      <c r="AE188" s="41">
        <f t="shared" si="35"/>
        <v>1000</v>
      </c>
    </row>
    <row r="189" spans="1:40" ht="18.95" customHeight="1" x14ac:dyDescent="0.2">
      <c r="Z189" s="457" t="s">
        <v>180</v>
      </c>
      <c r="AA189" s="458"/>
      <c r="AB189" s="118" t="s">
        <v>1011</v>
      </c>
      <c r="AC189" s="106">
        <f>мясо!B53</f>
        <v>90</v>
      </c>
      <c r="AD189" s="106"/>
      <c r="AE189" s="106">
        <f t="shared" si="35"/>
        <v>9000</v>
      </c>
      <c r="AG189" s="500" t="s">
        <v>181</v>
      </c>
      <c r="AH189" s="501"/>
      <c r="AI189" s="501"/>
      <c r="AJ189" s="501"/>
      <c r="AK189" s="501"/>
      <c r="AL189" s="501"/>
      <c r="AM189" s="501"/>
      <c r="AN189" s="501"/>
    </row>
    <row r="190" spans="1:40" ht="18.95" customHeight="1" x14ac:dyDescent="0.2">
      <c r="A190" s="487" t="s">
        <v>527</v>
      </c>
      <c r="B190" s="487"/>
      <c r="C190" s="487"/>
      <c r="D190" s="487"/>
      <c r="E190" s="487"/>
      <c r="F190" s="487"/>
      <c r="G190" s="487"/>
      <c r="H190" s="487"/>
      <c r="I190" s="460" t="s">
        <v>181</v>
      </c>
      <c r="J190" s="459"/>
      <c r="K190" s="459"/>
      <c r="L190" s="459"/>
      <c r="M190" s="459"/>
      <c r="N190" s="459"/>
      <c r="O190" s="459"/>
      <c r="P190" s="461"/>
      <c r="Q190" s="460" t="s">
        <v>181</v>
      </c>
      <c r="R190" s="459"/>
      <c r="S190" s="459"/>
      <c r="T190" s="459"/>
      <c r="U190" s="459"/>
      <c r="V190" s="459"/>
      <c r="W190" s="459"/>
      <c r="X190" s="459"/>
      <c r="AG190" s="264" t="s">
        <v>182</v>
      </c>
      <c r="AH190" s="264" t="s">
        <v>106</v>
      </c>
      <c r="AI190" s="265" t="s">
        <v>107</v>
      </c>
      <c r="AJ190" s="266" t="s">
        <v>187</v>
      </c>
      <c r="AK190" s="264" t="s">
        <v>183</v>
      </c>
      <c r="AL190" s="264" t="s">
        <v>184</v>
      </c>
      <c r="AM190" s="264" t="s">
        <v>185</v>
      </c>
      <c r="AN190" s="264" t="s">
        <v>186</v>
      </c>
    </row>
    <row r="191" spans="1:40" ht="18.95" customHeight="1" x14ac:dyDescent="0.2">
      <c r="A191" s="487"/>
      <c r="B191" s="487"/>
      <c r="C191" s="487"/>
      <c r="D191" s="487"/>
      <c r="E191" s="487"/>
      <c r="F191" s="487"/>
      <c r="G191" s="487"/>
      <c r="H191" s="487"/>
      <c r="I191" s="228" t="s">
        <v>182</v>
      </c>
      <c r="J191" s="228" t="s">
        <v>106</v>
      </c>
      <c r="K191" s="229" t="s">
        <v>107</v>
      </c>
      <c r="L191" s="230" t="s">
        <v>187</v>
      </c>
      <c r="M191" s="228" t="s">
        <v>183</v>
      </c>
      <c r="N191" s="228" t="s">
        <v>184</v>
      </c>
      <c r="O191" s="228" t="s">
        <v>185</v>
      </c>
      <c r="P191" s="228" t="s">
        <v>186</v>
      </c>
      <c r="Q191" s="147" t="s">
        <v>182</v>
      </c>
      <c r="R191" s="147" t="s">
        <v>106</v>
      </c>
      <c r="S191" s="115" t="s">
        <v>107</v>
      </c>
      <c r="T191" s="116" t="s">
        <v>187</v>
      </c>
      <c r="U191" s="147" t="s">
        <v>183</v>
      </c>
      <c r="V191" s="147" t="s">
        <v>184</v>
      </c>
      <c r="W191" s="147" t="s">
        <v>185</v>
      </c>
      <c r="X191" s="147" t="s">
        <v>186</v>
      </c>
      <c r="Y191" s="460" t="s">
        <v>181</v>
      </c>
      <c r="Z191" s="459"/>
      <c r="AA191" s="459"/>
      <c r="AB191" s="459"/>
      <c r="AC191" s="459"/>
      <c r="AD191" s="459"/>
      <c r="AE191" s="459"/>
      <c r="AF191" s="459"/>
      <c r="AG191" s="41">
        <f>мясо!M113</f>
        <v>0</v>
      </c>
      <c r="AH191" s="41">
        <f>мясо!N113</f>
        <v>0</v>
      </c>
      <c r="AI191" s="41">
        <f>мясо!O113</f>
        <v>0</v>
      </c>
      <c r="AJ191" s="41">
        <f>мясо!P113</f>
        <v>0</v>
      </c>
      <c r="AK191" s="41">
        <f>мясо!U113</f>
        <v>0</v>
      </c>
      <c r="AL191" s="41">
        <f>мясо!W113</f>
        <v>0</v>
      </c>
      <c r="AM191" s="41">
        <f>мясо!X113</f>
        <v>0</v>
      </c>
      <c r="AN191" s="41">
        <f>мясо!R113</f>
        <v>0</v>
      </c>
    </row>
    <row r="192" spans="1:40" ht="18.95" customHeight="1" x14ac:dyDescent="0.2">
      <c r="A192" s="487"/>
      <c r="B192" s="487"/>
      <c r="C192" s="487"/>
      <c r="D192" s="487"/>
      <c r="E192" s="487"/>
      <c r="F192" s="487"/>
      <c r="G192" s="487"/>
      <c r="H192" s="487"/>
      <c r="I192" s="41">
        <f>мясо!E49</f>
        <v>16.946666666666665</v>
      </c>
      <c r="J192" s="41">
        <f>мясо!F49</f>
        <v>10.466666666666667</v>
      </c>
      <c r="K192" s="41">
        <f>мясо!G49</f>
        <v>35.733333333333334</v>
      </c>
      <c r="L192" s="41">
        <f>мясо!H49</f>
        <v>305.33333333333331</v>
      </c>
      <c r="M192" s="41">
        <f>мясо!M49</f>
        <v>5.0133333333333336</v>
      </c>
      <c r="N192" s="41">
        <f>мясо!O49</f>
        <v>54.04</v>
      </c>
      <c r="O192" s="41">
        <f>мясо!P49</f>
        <v>1.9733333333333334</v>
      </c>
      <c r="P192" s="41">
        <f>мясо!J49</f>
        <v>6.0266666666666655</v>
      </c>
      <c r="Q192" s="41">
        <f>мясо!E51</f>
        <v>8.202</v>
      </c>
      <c r="R192" s="41">
        <f>мясо!F51</f>
        <v>7.05</v>
      </c>
      <c r="S192" s="41">
        <f>мясо!G51</f>
        <v>18.739999999999998</v>
      </c>
      <c r="T192" s="41">
        <f>мясо!H51</f>
        <v>121.89</v>
      </c>
      <c r="U192" s="41">
        <f>мясо!M51</f>
        <v>36.6</v>
      </c>
      <c r="V192" s="41">
        <f>мясо!O51</f>
        <v>20.076000000000001</v>
      </c>
      <c r="W192" s="41">
        <f>мясо!P51</f>
        <v>1.962</v>
      </c>
      <c r="X192" s="41">
        <f>мясо!J51</f>
        <v>5.2079999999999993</v>
      </c>
      <c r="Y192" s="147" t="s">
        <v>182</v>
      </c>
      <c r="Z192" s="147" t="s">
        <v>106</v>
      </c>
      <c r="AA192" s="115" t="s">
        <v>107</v>
      </c>
      <c r="AB192" s="116" t="s">
        <v>187</v>
      </c>
      <c r="AC192" s="147" t="s">
        <v>183</v>
      </c>
      <c r="AD192" s="147" t="s">
        <v>184</v>
      </c>
      <c r="AE192" s="147" t="s">
        <v>185</v>
      </c>
      <c r="AF192" s="147" t="s">
        <v>186</v>
      </c>
    </row>
    <row r="193" spans="1:40" ht="18.95" customHeight="1" x14ac:dyDescent="0.2">
      <c r="A193" s="119"/>
      <c r="B193" s="119"/>
      <c r="C193" s="119"/>
      <c r="D193" s="119"/>
      <c r="E193" s="119"/>
      <c r="F193" s="119"/>
      <c r="G193" s="119"/>
      <c r="H193" s="119"/>
      <c r="Y193" s="41">
        <v>10.7</v>
      </c>
      <c r="Z193" s="41">
        <v>10.08</v>
      </c>
      <c r="AA193" s="41">
        <f>мясо!G53</f>
        <v>16.899999999999999</v>
      </c>
      <c r="AB193" s="41">
        <v>157.4</v>
      </c>
      <c r="AC193" s="41">
        <f>мясо!M53</f>
        <v>53.802</v>
      </c>
      <c r="AD193" s="41">
        <f>мясо!O53</f>
        <v>19.98</v>
      </c>
      <c r="AE193" s="41">
        <f>мясо!P53</f>
        <v>3.258</v>
      </c>
      <c r="AF193" s="41">
        <f>мясо!J53</f>
        <v>0.81</v>
      </c>
      <c r="AG193" s="483" t="s">
        <v>479</v>
      </c>
      <c r="AH193" s="483"/>
      <c r="AI193" s="483"/>
      <c r="AJ193" s="483"/>
      <c r="AK193" s="483"/>
      <c r="AL193" s="483"/>
      <c r="AM193" s="483"/>
      <c r="AN193" s="483"/>
    </row>
    <row r="194" spans="1:40" ht="18.95" customHeight="1" x14ac:dyDescent="0.2">
      <c r="A194" s="125" t="s">
        <v>232</v>
      </c>
      <c r="B194" s="125"/>
      <c r="C194" s="125"/>
      <c r="I194" s="487" t="s">
        <v>530</v>
      </c>
      <c r="J194" s="487"/>
      <c r="K194" s="487"/>
      <c r="L194" s="487"/>
      <c r="M194" s="487"/>
      <c r="N194" s="487"/>
      <c r="O194" s="487"/>
      <c r="P194" s="487"/>
      <c r="Q194" s="462" t="s">
        <v>533</v>
      </c>
      <c r="R194" s="462"/>
      <c r="S194" s="462"/>
      <c r="T194" s="462"/>
      <c r="U194" s="462"/>
      <c r="V194" s="462"/>
      <c r="W194" s="462"/>
      <c r="X194" s="462"/>
      <c r="AG194" s="483"/>
      <c r="AH194" s="483"/>
      <c r="AI194" s="483"/>
      <c r="AJ194" s="483"/>
      <c r="AK194" s="483"/>
      <c r="AL194" s="483"/>
      <c r="AM194" s="483"/>
      <c r="AN194" s="483"/>
    </row>
    <row r="195" spans="1:40" ht="18.95" customHeight="1" x14ac:dyDescent="0.2">
      <c r="I195" s="487"/>
      <c r="J195" s="487"/>
      <c r="K195" s="487"/>
      <c r="L195" s="487"/>
      <c r="M195" s="487"/>
      <c r="N195" s="487"/>
      <c r="O195" s="487"/>
      <c r="P195" s="487"/>
      <c r="Q195" s="462"/>
      <c r="R195" s="462"/>
      <c r="S195" s="462"/>
      <c r="T195" s="462"/>
      <c r="U195" s="462"/>
      <c r="V195" s="462"/>
      <c r="W195" s="462"/>
      <c r="X195" s="462"/>
      <c r="Y195" s="462" t="s">
        <v>539</v>
      </c>
      <c r="Z195" s="462"/>
      <c r="AA195" s="462"/>
      <c r="AB195" s="462"/>
      <c r="AC195" s="462"/>
      <c r="AD195" s="462"/>
      <c r="AE195" s="462"/>
      <c r="AF195" s="462"/>
      <c r="AG195" s="483"/>
      <c r="AH195" s="483"/>
      <c r="AI195" s="483"/>
      <c r="AJ195" s="483"/>
      <c r="AK195" s="483"/>
      <c r="AL195" s="483"/>
      <c r="AM195" s="483"/>
      <c r="AN195" s="483"/>
    </row>
    <row r="196" spans="1:40" ht="18.95" customHeight="1" x14ac:dyDescent="0.2">
      <c r="I196" s="487"/>
      <c r="J196" s="487"/>
      <c r="K196" s="487"/>
      <c r="L196" s="487"/>
      <c r="M196" s="487"/>
      <c r="N196" s="487"/>
      <c r="O196" s="487"/>
      <c r="P196" s="487"/>
      <c r="Q196" s="462"/>
      <c r="R196" s="462"/>
      <c r="S196" s="462"/>
      <c r="T196" s="462"/>
      <c r="U196" s="462"/>
      <c r="V196" s="462"/>
      <c r="W196" s="462"/>
      <c r="X196" s="462"/>
      <c r="Y196" s="462"/>
      <c r="Z196" s="462"/>
      <c r="AA196" s="462"/>
      <c r="AB196" s="462"/>
      <c r="AC196" s="462"/>
      <c r="AD196" s="462"/>
      <c r="AE196" s="462"/>
      <c r="AF196" s="462"/>
      <c r="AG196" s="483"/>
      <c r="AH196" s="483"/>
      <c r="AI196" s="483"/>
      <c r="AJ196" s="483"/>
      <c r="AK196" s="483"/>
      <c r="AL196" s="483"/>
      <c r="AM196" s="483"/>
      <c r="AN196" s="483"/>
    </row>
    <row r="197" spans="1:40" ht="18.95" customHeight="1" x14ac:dyDescent="0.2">
      <c r="I197" s="487"/>
      <c r="J197" s="487"/>
      <c r="K197" s="487"/>
      <c r="L197" s="487"/>
      <c r="M197" s="487"/>
      <c r="N197" s="487"/>
      <c r="O197" s="487"/>
      <c r="P197" s="487"/>
      <c r="Q197" s="119"/>
      <c r="R197" s="119"/>
      <c r="S197" s="119"/>
      <c r="T197" s="119"/>
      <c r="U197" s="119"/>
      <c r="V197" s="119"/>
      <c r="W197" s="119"/>
      <c r="X197" s="119"/>
      <c r="Y197" s="462"/>
      <c r="Z197" s="462"/>
      <c r="AA197" s="462"/>
      <c r="AB197" s="462"/>
      <c r="AC197" s="462"/>
      <c r="AD197" s="462"/>
      <c r="AE197" s="462"/>
      <c r="AF197" s="462"/>
      <c r="AG197" s="483"/>
      <c r="AH197" s="483"/>
      <c r="AI197" s="483"/>
      <c r="AJ197" s="483"/>
      <c r="AK197" s="483"/>
      <c r="AL197" s="483"/>
      <c r="AM197" s="483"/>
      <c r="AN197" s="483"/>
    </row>
    <row r="198" spans="1:40" ht="18.95" customHeight="1" x14ac:dyDescent="0.2">
      <c r="I198" s="125"/>
      <c r="Q198" s="454" t="s">
        <v>232</v>
      </c>
      <c r="R198" s="454"/>
      <c r="S198" s="454"/>
      <c r="Y198" s="462"/>
      <c r="Z198" s="462"/>
      <c r="AA198" s="462"/>
      <c r="AB198" s="462"/>
      <c r="AC198" s="462"/>
      <c r="AD198" s="462"/>
      <c r="AE198" s="462"/>
      <c r="AF198" s="462"/>
      <c r="AG198" s="483"/>
      <c r="AH198" s="483"/>
      <c r="AI198" s="483"/>
      <c r="AJ198" s="483"/>
      <c r="AK198" s="483"/>
      <c r="AL198" s="483"/>
      <c r="AM198" s="483"/>
      <c r="AN198" s="483"/>
    </row>
    <row r="199" spans="1:40" ht="18.95" customHeight="1" x14ac:dyDescent="0.2">
      <c r="I199" s="454" t="s">
        <v>232</v>
      </c>
      <c r="J199" s="454"/>
      <c r="K199" s="454"/>
      <c r="Q199" s="125"/>
      <c r="R199" s="125"/>
      <c r="S199" s="125"/>
    </row>
    <row r="200" spans="1:40" ht="18.95" customHeight="1" x14ac:dyDescent="0.2">
      <c r="Y200" s="454" t="s">
        <v>232</v>
      </c>
      <c r="Z200" s="454"/>
      <c r="AA200" s="454"/>
    </row>
    <row r="201" spans="1:40" ht="18.95" customHeight="1" x14ac:dyDescent="0.2"/>
    <row r="202" spans="1:40" ht="18.95" customHeight="1" x14ac:dyDescent="0.2"/>
    <row r="203" spans="1:40" ht="18.95" customHeight="1" x14ac:dyDescent="0.2"/>
    <row r="204" spans="1:40" ht="18.95" customHeight="1" x14ac:dyDescent="0.2"/>
    <row r="205" spans="1:40" ht="18.95" customHeight="1" x14ac:dyDescent="0.2"/>
    <row r="206" spans="1:40" ht="18.95" customHeight="1" x14ac:dyDescent="0.2"/>
  </sheetData>
  <mergeCells count="616">
    <mergeCell ref="AG189:AN189"/>
    <mergeCell ref="AG193:AN198"/>
    <mergeCell ref="AH178:AI178"/>
    <mergeCell ref="AH179:AI179"/>
    <mergeCell ref="AH180:AI180"/>
    <mergeCell ref="AH181:AI181"/>
    <mergeCell ref="AH182:AI182"/>
    <mergeCell ref="AH183:AI183"/>
    <mergeCell ref="AH184:AI184"/>
    <mergeCell ref="AH185:AI185"/>
    <mergeCell ref="AH187:AI187"/>
    <mergeCell ref="AG169:AN169"/>
    <mergeCell ref="AG170:AN170"/>
    <mergeCell ref="AG171:AN171"/>
    <mergeCell ref="AG172:AN172"/>
    <mergeCell ref="AG173:AN173"/>
    <mergeCell ref="AH175:AI177"/>
    <mergeCell ref="AJ175:AM175"/>
    <mergeCell ref="AJ176:AK176"/>
    <mergeCell ref="AL176:AM176"/>
    <mergeCell ref="AH108:AI108"/>
    <mergeCell ref="AH109:AI109"/>
    <mergeCell ref="AG111:AN111"/>
    <mergeCell ref="AG115:AN120"/>
    <mergeCell ref="B104:C104"/>
    <mergeCell ref="B59:C59"/>
    <mergeCell ref="AG122:AI122"/>
    <mergeCell ref="Y111:AF116"/>
    <mergeCell ref="Q117:S117"/>
    <mergeCell ref="Z102:AA102"/>
    <mergeCell ref="Z105:AA105"/>
    <mergeCell ref="Z103:AA103"/>
    <mergeCell ref="Y107:AF107"/>
    <mergeCell ref="I113:K113"/>
    <mergeCell ref="R104:S104"/>
    <mergeCell ref="Q106:X106"/>
    <mergeCell ref="Q110:X115"/>
    <mergeCell ref="I109:P111"/>
    <mergeCell ref="R103:S103"/>
    <mergeCell ref="J103:K103"/>
    <mergeCell ref="I105:P105"/>
    <mergeCell ref="AH105:AI105"/>
    <mergeCell ref="AH104:AI104"/>
    <mergeCell ref="AH106:AI106"/>
    <mergeCell ref="AH107:AI107"/>
    <mergeCell ref="B106:C106"/>
    <mergeCell ref="A108:H108"/>
    <mergeCell ref="A112:H115"/>
    <mergeCell ref="A117:C117"/>
    <mergeCell ref="B58:C58"/>
    <mergeCell ref="AH19:AI19"/>
    <mergeCell ref="Z60:AA60"/>
    <mergeCell ref="Z61:AA61"/>
    <mergeCell ref="Z62:AA62"/>
    <mergeCell ref="A69:H73"/>
    <mergeCell ref="J60:K60"/>
    <mergeCell ref="B63:C63"/>
    <mergeCell ref="A65:H65"/>
    <mergeCell ref="B60:C60"/>
    <mergeCell ref="B61:C61"/>
    <mergeCell ref="B62:C62"/>
    <mergeCell ref="Y68:AF72"/>
    <mergeCell ref="AH61:AI61"/>
    <mergeCell ref="AG63:AN63"/>
    <mergeCell ref="AG67:AN70"/>
    <mergeCell ref="AG72:AI72"/>
    <mergeCell ref="Y73:AA73"/>
    <mergeCell ref="Y64:AF64"/>
    <mergeCell ref="Z98:AA98"/>
    <mergeCell ref="AH98:AI98"/>
    <mergeCell ref="Y90:AF90"/>
    <mergeCell ref="AG90:AN90"/>
    <mergeCell ref="A91:H91"/>
    <mergeCell ref="I91:P91"/>
    <mergeCell ref="Q91:X91"/>
    <mergeCell ref="Y91:AF91"/>
    <mergeCell ref="AG91:AN91"/>
    <mergeCell ref="AJ93:AM93"/>
    <mergeCell ref="AB94:AC94"/>
    <mergeCell ref="AD94:AE94"/>
    <mergeCell ref="AJ94:AK94"/>
    <mergeCell ref="AL94:AM94"/>
    <mergeCell ref="Z93:AA95"/>
    <mergeCell ref="AB93:AE93"/>
    <mergeCell ref="AH93:AI95"/>
    <mergeCell ref="B99:C99"/>
    <mergeCell ref="J99:K99"/>
    <mergeCell ref="R99:S99"/>
    <mergeCell ref="B98:C98"/>
    <mergeCell ref="J98:K98"/>
    <mergeCell ref="R98:S98"/>
    <mergeCell ref="B93:C95"/>
    <mergeCell ref="A90:H90"/>
    <mergeCell ref="I90:P90"/>
    <mergeCell ref="Q90:X90"/>
    <mergeCell ref="D94:E94"/>
    <mergeCell ref="F94:G94"/>
    <mergeCell ref="L94:M94"/>
    <mergeCell ref="N94:O94"/>
    <mergeCell ref="T94:U94"/>
    <mergeCell ref="V94:W94"/>
    <mergeCell ref="D93:G93"/>
    <mergeCell ref="J93:K95"/>
    <mergeCell ref="L93:O93"/>
    <mergeCell ref="R93:S95"/>
    <mergeCell ref="T93:W93"/>
    <mergeCell ref="B19:C19"/>
    <mergeCell ref="B20:C20"/>
    <mergeCell ref="B21:C21"/>
    <mergeCell ref="B22:C22"/>
    <mergeCell ref="AH60:AI60"/>
    <mergeCell ref="Z58:AA58"/>
    <mergeCell ref="AH58:AI58"/>
    <mergeCell ref="Z59:AA59"/>
    <mergeCell ref="AH59:AI59"/>
    <mergeCell ref="AG50:AN50"/>
    <mergeCell ref="B52:C54"/>
    <mergeCell ref="D52:G52"/>
    <mergeCell ref="J52:K54"/>
    <mergeCell ref="L52:O52"/>
    <mergeCell ref="R52:S54"/>
    <mergeCell ref="T52:W52"/>
    <mergeCell ref="Z52:AA54"/>
    <mergeCell ref="AB52:AE52"/>
    <mergeCell ref="AH52:AI54"/>
    <mergeCell ref="AJ52:AM52"/>
    <mergeCell ref="D53:E53"/>
    <mergeCell ref="F53:G53"/>
    <mergeCell ref="L53:M53"/>
    <mergeCell ref="N53:O53"/>
    <mergeCell ref="B183:C183"/>
    <mergeCell ref="J181:K181"/>
    <mergeCell ref="A173:H173"/>
    <mergeCell ref="I173:P173"/>
    <mergeCell ref="A169:H169"/>
    <mergeCell ref="I169:P169"/>
    <mergeCell ref="B142:C142"/>
    <mergeCell ref="J142:K142"/>
    <mergeCell ref="B138:C138"/>
    <mergeCell ref="J138:K138"/>
    <mergeCell ref="B146:C146"/>
    <mergeCell ref="J146:K146"/>
    <mergeCell ref="J183:K183"/>
    <mergeCell ref="B149:C149"/>
    <mergeCell ref="B147:C147"/>
    <mergeCell ref="A151:H151"/>
    <mergeCell ref="I152:P155"/>
    <mergeCell ref="A155:H159"/>
    <mergeCell ref="I157:K157"/>
    <mergeCell ref="A132:H132"/>
    <mergeCell ref="I132:P132"/>
    <mergeCell ref="I128:P128"/>
    <mergeCell ref="B105:C105"/>
    <mergeCell ref="I20:P20"/>
    <mergeCell ref="I24:P25"/>
    <mergeCell ref="I28:K28"/>
    <mergeCell ref="J182:K182"/>
    <mergeCell ref="B101:C101"/>
    <mergeCell ref="J101:K101"/>
    <mergeCell ref="B179:C179"/>
    <mergeCell ref="J179:K179"/>
    <mergeCell ref="A171:H171"/>
    <mergeCell ref="I171:P171"/>
    <mergeCell ref="A170:H170"/>
    <mergeCell ref="I170:P170"/>
    <mergeCell ref="B148:C148"/>
    <mergeCell ref="A166:B166"/>
    <mergeCell ref="I148:P148"/>
    <mergeCell ref="A161:C161"/>
    <mergeCell ref="B144:C144"/>
    <mergeCell ref="J144:K144"/>
    <mergeCell ref="B145:C145"/>
    <mergeCell ref="J145:K145"/>
    <mergeCell ref="R179:S179"/>
    <mergeCell ref="Z179:AA179"/>
    <mergeCell ref="B182:C182"/>
    <mergeCell ref="J180:K180"/>
    <mergeCell ref="R180:S180"/>
    <mergeCell ref="Z180:AA180"/>
    <mergeCell ref="B180:C180"/>
    <mergeCell ref="B181:C181"/>
    <mergeCell ref="B178:C178"/>
    <mergeCell ref="J178:K178"/>
    <mergeCell ref="R178:S178"/>
    <mergeCell ref="Z178:AA178"/>
    <mergeCell ref="Q171:X171"/>
    <mergeCell ref="Y171:AF171"/>
    <mergeCell ref="A172:H172"/>
    <mergeCell ref="I172:P172"/>
    <mergeCell ref="Q172:X172"/>
    <mergeCell ref="Y172:AF172"/>
    <mergeCell ref="V176:W176"/>
    <mergeCell ref="AB176:AC176"/>
    <mergeCell ref="AD176:AE176"/>
    <mergeCell ref="Y173:AF173"/>
    <mergeCell ref="Q173:X173"/>
    <mergeCell ref="T175:W175"/>
    <mergeCell ref="Z175:AA177"/>
    <mergeCell ref="AB175:AE175"/>
    <mergeCell ref="D176:E176"/>
    <mergeCell ref="F176:G176"/>
    <mergeCell ref="L176:M176"/>
    <mergeCell ref="N176:O176"/>
    <mergeCell ref="T176:U176"/>
    <mergeCell ref="B175:C177"/>
    <mergeCell ref="D175:G175"/>
    <mergeCell ref="J175:K177"/>
    <mergeCell ref="L175:O175"/>
    <mergeCell ref="R175:S177"/>
    <mergeCell ref="Q170:X170"/>
    <mergeCell ref="Y170:AF170"/>
    <mergeCell ref="V166:X166"/>
    <mergeCell ref="Y166:Z166"/>
    <mergeCell ref="AD166:AF166"/>
    <mergeCell ref="E167:H167"/>
    <mergeCell ref="M167:P167"/>
    <mergeCell ref="U167:X167"/>
    <mergeCell ref="AC167:AF167"/>
    <mergeCell ref="F166:H166"/>
    <mergeCell ref="I166:J166"/>
    <mergeCell ref="N166:P166"/>
    <mergeCell ref="Q166:R166"/>
    <mergeCell ref="R142:S142"/>
    <mergeCell ref="AH142:AI142"/>
    <mergeCell ref="J143:K143"/>
    <mergeCell ref="R143:S143"/>
    <mergeCell ref="B140:C140"/>
    <mergeCell ref="J140:K140"/>
    <mergeCell ref="R140:S140"/>
    <mergeCell ref="AH140:AI140"/>
    <mergeCell ref="B141:C141"/>
    <mergeCell ref="J141:K141"/>
    <mergeCell ref="R141:S141"/>
    <mergeCell ref="AH141:AI141"/>
    <mergeCell ref="B143:C143"/>
    <mergeCell ref="Z142:AA142"/>
    <mergeCell ref="Z141:AA141"/>
    <mergeCell ref="AH143:AI143"/>
    <mergeCell ref="Z140:AA140"/>
    <mergeCell ref="AB134:AE134"/>
    <mergeCell ref="B139:C139"/>
    <mergeCell ref="J139:K139"/>
    <mergeCell ref="R139:S139"/>
    <mergeCell ref="Z139:AA139"/>
    <mergeCell ref="AH139:AI139"/>
    <mergeCell ref="V135:W135"/>
    <mergeCell ref="AB135:AC135"/>
    <mergeCell ref="AD135:AE135"/>
    <mergeCell ref="B137:C137"/>
    <mergeCell ref="J137:K137"/>
    <mergeCell ref="R137:S137"/>
    <mergeCell ref="Z137:AA137"/>
    <mergeCell ref="AH137:AI137"/>
    <mergeCell ref="AH134:AI136"/>
    <mergeCell ref="D135:E135"/>
    <mergeCell ref="F135:G135"/>
    <mergeCell ref="L135:M135"/>
    <mergeCell ref="N135:O135"/>
    <mergeCell ref="T135:U135"/>
    <mergeCell ref="R138:S138"/>
    <mergeCell ref="Z138:AA138"/>
    <mergeCell ref="AH138:AI138"/>
    <mergeCell ref="A128:H128"/>
    <mergeCell ref="Q132:X132"/>
    <mergeCell ref="Y132:AF132"/>
    <mergeCell ref="AG132:AN132"/>
    <mergeCell ref="B134:C136"/>
    <mergeCell ref="D134:G134"/>
    <mergeCell ref="J134:K136"/>
    <mergeCell ref="L134:O134"/>
    <mergeCell ref="R134:S136"/>
    <mergeCell ref="A130:H130"/>
    <mergeCell ref="I130:P130"/>
    <mergeCell ref="Q130:X130"/>
    <mergeCell ref="Y130:AF130"/>
    <mergeCell ref="AG130:AN130"/>
    <mergeCell ref="A131:H131"/>
    <mergeCell ref="I131:P131"/>
    <mergeCell ref="Q131:X131"/>
    <mergeCell ref="Y131:AF131"/>
    <mergeCell ref="AG131:AN131"/>
    <mergeCell ref="AJ135:AK135"/>
    <mergeCell ref="AL135:AM135"/>
    <mergeCell ref="AJ134:AM134"/>
    <mergeCell ref="T134:W134"/>
    <mergeCell ref="Z134:AA136"/>
    <mergeCell ref="AH103:AI103"/>
    <mergeCell ref="Q128:X128"/>
    <mergeCell ref="Y128:AF128"/>
    <mergeCell ref="AG128:AN128"/>
    <mergeCell ref="A129:H129"/>
    <mergeCell ref="I129:P129"/>
    <mergeCell ref="Q129:X129"/>
    <mergeCell ref="Y129:AF129"/>
    <mergeCell ref="AG129:AN129"/>
    <mergeCell ref="AG125:AH125"/>
    <mergeCell ref="AL125:AN125"/>
    <mergeCell ref="E126:H126"/>
    <mergeCell ref="M126:P126"/>
    <mergeCell ref="U126:X126"/>
    <mergeCell ref="AC126:AF126"/>
    <mergeCell ref="AK126:AN126"/>
    <mergeCell ref="A125:B125"/>
    <mergeCell ref="F125:H125"/>
    <mergeCell ref="I125:J125"/>
    <mergeCell ref="N125:P125"/>
    <mergeCell ref="Q125:R125"/>
    <mergeCell ref="V125:X125"/>
    <mergeCell ref="Y125:Z125"/>
    <mergeCell ref="AD125:AF125"/>
    <mergeCell ref="Z101:AA101"/>
    <mergeCell ref="AH101:AI101"/>
    <mergeCell ref="J102:K102"/>
    <mergeCell ref="R102:S102"/>
    <mergeCell ref="B96:C96"/>
    <mergeCell ref="J96:K96"/>
    <mergeCell ref="R96:S96"/>
    <mergeCell ref="Z96:AA96"/>
    <mergeCell ref="AH96:AI96"/>
    <mergeCell ref="B97:C97"/>
    <mergeCell ref="J97:K97"/>
    <mergeCell ref="R97:S97"/>
    <mergeCell ref="Z97:AA97"/>
    <mergeCell ref="AH97:AI97"/>
    <mergeCell ref="Z99:AA99"/>
    <mergeCell ref="AH99:AI99"/>
    <mergeCell ref="B100:C100"/>
    <mergeCell ref="J100:K100"/>
    <mergeCell ref="R100:S100"/>
    <mergeCell ref="Z100:AA100"/>
    <mergeCell ref="AH100:AI100"/>
    <mergeCell ref="B102:C102"/>
    <mergeCell ref="R101:S101"/>
    <mergeCell ref="AH102:AI102"/>
    <mergeCell ref="A88:H88"/>
    <mergeCell ref="I88:P88"/>
    <mergeCell ref="Q88:X88"/>
    <mergeCell ref="Y88:AF88"/>
    <mergeCell ref="AG88:AN88"/>
    <mergeCell ref="A89:H89"/>
    <mergeCell ref="I89:P89"/>
    <mergeCell ref="Q89:X89"/>
    <mergeCell ref="Y89:AF89"/>
    <mergeCell ref="AG89:AN89"/>
    <mergeCell ref="AL84:AN84"/>
    <mergeCell ref="E85:H85"/>
    <mergeCell ref="M85:P85"/>
    <mergeCell ref="U85:X85"/>
    <mergeCell ref="AC85:AF85"/>
    <mergeCell ref="AK85:AN85"/>
    <mergeCell ref="A87:H87"/>
    <mergeCell ref="I87:P87"/>
    <mergeCell ref="Q87:X87"/>
    <mergeCell ref="Y87:AF87"/>
    <mergeCell ref="AG87:AN87"/>
    <mergeCell ref="A84:B84"/>
    <mergeCell ref="F84:H84"/>
    <mergeCell ref="I84:J84"/>
    <mergeCell ref="N84:P84"/>
    <mergeCell ref="Q84:R84"/>
    <mergeCell ref="V84:X84"/>
    <mergeCell ref="Y84:Z84"/>
    <mergeCell ref="AD84:AF84"/>
    <mergeCell ref="AG84:AH84"/>
    <mergeCell ref="Y74:AA74"/>
    <mergeCell ref="A75:C75"/>
    <mergeCell ref="J55:K55"/>
    <mergeCell ref="R55:S55"/>
    <mergeCell ref="Z55:AA55"/>
    <mergeCell ref="AH55:AI55"/>
    <mergeCell ref="B56:C56"/>
    <mergeCell ref="J56:K56"/>
    <mergeCell ref="Z56:AA56"/>
    <mergeCell ref="AH56:AI56"/>
    <mergeCell ref="J59:K59"/>
    <mergeCell ref="R57:S57"/>
    <mergeCell ref="Z57:AA57"/>
    <mergeCell ref="AH57:AI57"/>
    <mergeCell ref="B57:C57"/>
    <mergeCell ref="R56:S56"/>
    <mergeCell ref="J57:K57"/>
    <mergeCell ref="J58:K58"/>
    <mergeCell ref="I63:P63"/>
    <mergeCell ref="I67:P70"/>
    <mergeCell ref="I72:K72"/>
    <mergeCell ref="J61:K61"/>
    <mergeCell ref="R58:S58"/>
    <mergeCell ref="R60:S60"/>
    <mergeCell ref="T53:U53"/>
    <mergeCell ref="V53:W53"/>
    <mergeCell ref="AB53:AC53"/>
    <mergeCell ref="AD53:AE53"/>
    <mergeCell ref="AJ53:AK53"/>
    <mergeCell ref="AL53:AM53"/>
    <mergeCell ref="A50:H50"/>
    <mergeCell ref="I50:P50"/>
    <mergeCell ref="Q50:X50"/>
    <mergeCell ref="AG47:AN47"/>
    <mergeCell ref="A48:H48"/>
    <mergeCell ref="I48:P48"/>
    <mergeCell ref="Q48:X48"/>
    <mergeCell ref="Y48:AF48"/>
    <mergeCell ref="AG48:AN48"/>
    <mergeCell ref="A49:H49"/>
    <mergeCell ref="I49:P49"/>
    <mergeCell ref="Q49:X49"/>
    <mergeCell ref="Y49:AF49"/>
    <mergeCell ref="AG49:AN49"/>
    <mergeCell ref="Y47:AF47"/>
    <mergeCell ref="AL43:AN43"/>
    <mergeCell ref="AG36:AI36"/>
    <mergeCell ref="AK44:AN44"/>
    <mergeCell ref="A46:H46"/>
    <mergeCell ref="I46:P46"/>
    <mergeCell ref="Q46:X46"/>
    <mergeCell ref="Y46:AF46"/>
    <mergeCell ref="AG46:AN46"/>
    <mergeCell ref="I43:J43"/>
    <mergeCell ref="N43:P43"/>
    <mergeCell ref="Q43:R43"/>
    <mergeCell ref="R18:S18"/>
    <mergeCell ref="B17:C17"/>
    <mergeCell ref="B18:C18"/>
    <mergeCell ref="AH20:AI20"/>
    <mergeCell ref="AH21:AI21"/>
    <mergeCell ref="V43:X43"/>
    <mergeCell ref="Y43:Z43"/>
    <mergeCell ref="AD43:AF43"/>
    <mergeCell ref="AG43:AH43"/>
    <mergeCell ref="Y21:AF24"/>
    <mergeCell ref="Y27:AA27"/>
    <mergeCell ref="AH22:AI22"/>
    <mergeCell ref="AH25:AI25"/>
    <mergeCell ref="R19:S19"/>
    <mergeCell ref="B23:C23"/>
    <mergeCell ref="B24:C24"/>
    <mergeCell ref="B25:C25"/>
    <mergeCell ref="B27:C27"/>
    <mergeCell ref="B28:C28"/>
    <mergeCell ref="Q34:S34"/>
    <mergeCell ref="R20:S20"/>
    <mergeCell ref="R22:S22"/>
    <mergeCell ref="Q28:X32"/>
    <mergeCell ref="B29:C29"/>
    <mergeCell ref="A8:H8"/>
    <mergeCell ref="I8:P8"/>
    <mergeCell ref="Q8:X8"/>
    <mergeCell ref="AH13:AI13"/>
    <mergeCell ref="B16:C16"/>
    <mergeCell ref="R16:S16"/>
    <mergeCell ref="J16:K16"/>
    <mergeCell ref="J17:K17"/>
    <mergeCell ref="J18:K18"/>
    <mergeCell ref="B14:C14"/>
    <mergeCell ref="J14:K14"/>
    <mergeCell ref="R14:S14"/>
    <mergeCell ref="Z14:AA14"/>
    <mergeCell ref="B15:C15"/>
    <mergeCell ref="J15:K15"/>
    <mergeCell ref="R15:S15"/>
    <mergeCell ref="Z15:AA15"/>
    <mergeCell ref="Y17:AF17"/>
    <mergeCell ref="AH14:AI14"/>
    <mergeCell ref="AH15:AI15"/>
    <mergeCell ref="AH16:AI16"/>
    <mergeCell ref="AH17:AI17"/>
    <mergeCell ref="AH18:AI18"/>
    <mergeCell ref="R17:S17"/>
    <mergeCell ref="Z10:AA12"/>
    <mergeCell ref="AB10:AE10"/>
    <mergeCell ref="AH10:AI12"/>
    <mergeCell ref="AJ10:AM10"/>
    <mergeCell ref="D11:E11"/>
    <mergeCell ref="F11:G11"/>
    <mergeCell ref="L11:M11"/>
    <mergeCell ref="N11:O11"/>
    <mergeCell ref="T11:U11"/>
    <mergeCell ref="V11:W11"/>
    <mergeCell ref="AB11:AC11"/>
    <mergeCell ref="AD11:AE11"/>
    <mergeCell ref="AJ11:AK11"/>
    <mergeCell ref="AL11:AM11"/>
    <mergeCell ref="AH23:AI23"/>
    <mergeCell ref="AG27:AN27"/>
    <mergeCell ref="AH24:AI24"/>
    <mergeCell ref="AG31:AN34"/>
    <mergeCell ref="V1:X1"/>
    <mergeCell ref="Y1:Z1"/>
    <mergeCell ref="AG5:AN5"/>
    <mergeCell ref="A6:H6"/>
    <mergeCell ref="I6:P6"/>
    <mergeCell ref="Q6:X6"/>
    <mergeCell ref="Y6:AF6"/>
    <mergeCell ref="AG6:AN6"/>
    <mergeCell ref="A7:H7"/>
    <mergeCell ref="I7:P7"/>
    <mergeCell ref="Q7:X7"/>
    <mergeCell ref="Y7:AF7"/>
    <mergeCell ref="AG7:AN7"/>
    <mergeCell ref="A5:H5"/>
    <mergeCell ref="I5:P5"/>
    <mergeCell ref="Q5:X5"/>
    <mergeCell ref="Y5:AF5"/>
    <mergeCell ref="AG8:AN8"/>
    <mergeCell ref="B10:C12"/>
    <mergeCell ref="D10:G10"/>
    <mergeCell ref="AD1:AF1"/>
    <mergeCell ref="AG1:AH1"/>
    <mergeCell ref="AL1:AN1"/>
    <mergeCell ref="E2:H2"/>
    <mergeCell ref="M2:P2"/>
    <mergeCell ref="U2:X2"/>
    <mergeCell ref="AC2:AF2"/>
    <mergeCell ref="AK2:AN2"/>
    <mergeCell ref="A4:H4"/>
    <mergeCell ref="I4:P4"/>
    <mergeCell ref="Q4:X4"/>
    <mergeCell ref="Y4:AF4"/>
    <mergeCell ref="AG4:AN4"/>
    <mergeCell ref="A1:B1"/>
    <mergeCell ref="F1:H1"/>
    <mergeCell ref="I1:J1"/>
    <mergeCell ref="N1:P1"/>
    <mergeCell ref="Q1:R1"/>
    <mergeCell ref="R61:S61"/>
    <mergeCell ref="Q66:X66"/>
    <mergeCell ref="R64:S64"/>
    <mergeCell ref="Q70:X73"/>
    <mergeCell ref="B103:C103"/>
    <mergeCell ref="Y150:AF154"/>
    <mergeCell ref="Y156:AA156"/>
    <mergeCell ref="Q161:X164"/>
    <mergeCell ref="Y8:AF8"/>
    <mergeCell ref="B13:C13"/>
    <mergeCell ref="J13:K13"/>
    <mergeCell ref="R13:S13"/>
    <mergeCell ref="Z13:AA13"/>
    <mergeCell ref="A43:B43"/>
    <mergeCell ref="F43:H43"/>
    <mergeCell ref="B26:C26"/>
    <mergeCell ref="R21:S21"/>
    <mergeCell ref="Q24:X24"/>
    <mergeCell ref="Y50:AF50"/>
    <mergeCell ref="B55:C55"/>
    <mergeCell ref="J10:K12"/>
    <mergeCell ref="L10:O10"/>
    <mergeCell ref="R10:S12"/>
    <mergeCell ref="T10:W10"/>
    <mergeCell ref="A31:H31"/>
    <mergeCell ref="A35:H38"/>
    <mergeCell ref="A40:C40"/>
    <mergeCell ref="E44:H44"/>
    <mergeCell ref="M44:P44"/>
    <mergeCell ref="U44:X44"/>
    <mergeCell ref="AC44:AF44"/>
    <mergeCell ref="A47:H47"/>
    <mergeCell ref="I47:P47"/>
    <mergeCell ref="Q47:X47"/>
    <mergeCell ref="AH147:AI147"/>
    <mergeCell ref="AG149:AN149"/>
    <mergeCell ref="AG153:AN156"/>
    <mergeCell ref="R144:S144"/>
    <mergeCell ref="R145:S145"/>
    <mergeCell ref="Q169:X169"/>
    <mergeCell ref="Y169:AF169"/>
    <mergeCell ref="Q165:S165"/>
    <mergeCell ref="R146:S146"/>
    <mergeCell ref="R148:S148"/>
    <mergeCell ref="R147:S147"/>
    <mergeCell ref="Z144:AA144"/>
    <mergeCell ref="Y146:AF146"/>
    <mergeCell ref="AH144:AI144"/>
    <mergeCell ref="AH145:AI145"/>
    <mergeCell ref="AH146:AI146"/>
    <mergeCell ref="R149:S149"/>
    <mergeCell ref="R150:S150"/>
    <mergeCell ref="R151:S151"/>
    <mergeCell ref="Q153:X153"/>
    <mergeCell ref="Q157:X157"/>
    <mergeCell ref="AG166:AH166"/>
    <mergeCell ref="AL166:AN166"/>
    <mergeCell ref="AK167:AN167"/>
    <mergeCell ref="Y200:AA200"/>
    <mergeCell ref="Q198:S198"/>
    <mergeCell ref="Z181:AA181"/>
    <mergeCell ref="Z182:AA182"/>
    <mergeCell ref="Z183:AA183"/>
    <mergeCell ref="Z184:AA184"/>
    <mergeCell ref="Z185:AA185"/>
    <mergeCell ref="Z186:AA186"/>
    <mergeCell ref="Z187:AA187"/>
    <mergeCell ref="Z188:AA188"/>
    <mergeCell ref="Z189:AA189"/>
    <mergeCell ref="Y191:AF191"/>
    <mergeCell ref="Y195:AF198"/>
    <mergeCell ref="R181:S181"/>
    <mergeCell ref="R182:S182"/>
    <mergeCell ref="R183:S183"/>
    <mergeCell ref="R184:S184"/>
    <mergeCell ref="R185:S185"/>
    <mergeCell ref="R186:S186"/>
    <mergeCell ref="R187:S187"/>
    <mergeCell ref="R188:S188"/>
    <mergeCell ref="Q190:X190"/>
    <mergeCell ref="Q194:X196"/>
    <mergeCell ref="I199:K199"/>
    <mergeCell ref="B184:C184"/>
    <mergeCell ref="A186:H186"/>
    <mergeCell ref="A190:H192"/>
    <mergeCell ref="J188:K188"/>
    <mergeCell ref="J184:K184"/>
    <mergeCell ref="J185:K185"/>
    <mergeCell ref="I190:P190"/>
    <mergeCell ref="I194:P197"/>
    <mergeCell ref="J186:K186"/>
    <mergeCell ref="J187:K187"/>
  </mergeCells>
  <pageMargins left="0.7" right="0.7" top="0.75" bottom="0.75" header="0.3" footer="0.3"/>
  <pageSetup paperSize="9" fitToWidth="0"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selection sqref="A1:S1"/>
    </sheetView>
  </sheetViews>
  <sheetFormatPr defaultRowHeight="15" x14ac:dyDescent="0.25"/>
  <cols>
    <col min="1" max="1" width="65.7109375" style="174" customWidth="1"/>
    <col min="2" max="16" width="9.7109375" style="103" customWidth="1"/>
    <col min="17" max="18" width="9.7109375" style="174" customWidth="1"/>
    <col min="19" max="19" width="9.7109375" style="103" customWidth="1"/>
    <col min="20" max="16384" width="9.140625" style="103"/>
  </cols>
  <sheetData>
    <row r="1" spans="1:19" s="99" customFormat="1" ht="18.95" customHeight="1" thickBot="1" x14ac:dyDescent="0.3">
      <c r="A1" s="502" t="s">
        <v>0</v>
      </c>
      <c r="B1" s="502"/>
      <c r="C1" s="502"/>
      <c r="D1" s="502"/>
      <c r="E1" s="502"/>
      <c r="F1" s="502"/>
      <c r="G1" s="502"/>
      <c r="H1" s="502"/>
      <c r="I1" s="502"/>
      <c r="J1" s="502"/>
      <c r="K1" s="502"/>
      <c r="L1" s="502"/>
      <c r="M1" s="502"/>
      <c r="N1" s="502"/>
      <c r="O1" s="502"/>
      <c r="P1" s="502"/>
      <c r="Q1" s="502"/>
      <c r="R1" s="502"/>
      <c r="S1" s="502"/>
    </row>
    <row r="2" spans="1:19" s="99" customFormat="1" ht="18.95" customHeight="1" thickBot="1" x14ac:dyDescent="0.3">
      <c r="A2" s="506" t="s">
        <v>1</v>
      </c>
      <c r="B2" s="503" t="s">
        <v>2</v>
      </c>
      <c r="C2" s="505"/>
      <c r="D2" s="508" t="s">
        <v>3</v>
      </c>
      <c r="E2" s="510" t="s">
        <v>4</v>
      </c>
      <c r="F2" s="511"/>
      <c r="G2" s="511"/>
      <c r="H2" s="512"/>
      <c r="I2" s="451" t="s">
        <v>5</v>
      </c>
      <c r="J2" s="452"/>
      <c r="K2" s="452"/>
      <c r="L2" s="453"/>
      <c r="M2" s="451" t="s">
        <v>6</v>
      </c>
      <c r="N2" s="452"/>
      <c r="O2" s="452"/>
      <c r="P2" s="453"/>
      <c r="Q2" s="503" t="s">
        <v>7</v>
      </c>
      <c r="R2" s="504"/>
      <c r="S2" s="505"/>
    </row>
    <row r="3" spans="1:19" s="20" customFormat="1" ht="59.1" customHeight="1" thickBot="1" x14ac:dyDescent="0.3">
      <c r="A3" s="507"/>
      <c r="B3" s="2" t="s">
        <v>8</v>
      </c>
      <c r="C3" s="3" t="s">
        <v>9</v>
      </c>
      <c r="D3" s="509"/>
      <c r="E3" s="4" t="s">
        <v>10</v>
      </c>
      <c r="F3" s="4" t="s">
        <v>11</v>
      </c>
      <c r="G3" s="4" t="s">
        <v>12</v>
      </c>
      <c r="H3" s="4" t="s">
        <v>13</v>
      </c>
      <c r="I3" s="5" t="s">
        <v>14</v>
      </c>
      <c r="J3" s="5" t="s">
        <v>15</v>
      </c>
      <c r="K3" s="6" t="s">
        <v>16</v>
      </c>
      <c r="L3" s="5" t="s">
        <v>1002</v>
      </c>
      <c r="M3" s="5" t="s">
        <v>18</v>
      </c>
      <c r="N3" s="5" t="s">
        <v>19</v>
      </c>
      <c r="O3" s="5" t="s">
        <v>20</v>
      </c>
      <c r="P3" s="5" t="s">
        <v>21</v>
      </c>
      <c r="Q3" s="8" t="s">
        <v>22</v>
      </c>
      <c r="R3" s="8" t="s">
        <v>23</v>
      </c>
      <c r="S3" s="3" t="s">
        <v>24</v>
      </c>
    </row>
    <row r="4" spans="1:19" s="20" customFormat="1" ht="18.95" customHeight="1" x14ac:dyDescent="0.25">
      <c r="A4" s="173" t="s">
        <v>164</v>
      </c>
      <c r="B4" s="9" t="s">
        <v>25</v>
      </c>
      <c r="C4" s="9" t="s">
        <v>25</v>
      </c>
      <c r="D4" s="9" t="s">
        <v>25</v>
      </c>
      <c r="E4" s="9" t="s">
        <v>25</v>
      </c>
      <c r="F4" s="9" t="s">
        <v>25</v>
      </c>
      <c r="G4" s="9" t="s">
        <v>25</v>
      </c>
      <c r="H4" s="9" t="s">
        <v>25</v>
      </c>
      <c r="I4" s="9" t="s">
        <v>25</v>
      </c>
      <c r="J4" s="9" t="s">
        <v>25</v>
      </c>
      <c r="K4" s="9" t="s">
        <v>25</v>
      </c>
      <c r="L4" s="9" t="s">
        <v>25</v>
      </c>
      <c r="M4" s="9" t="s">
        <v>25</v>
      </c>
      <c r="N4" s="9" t="s">
        <v>25</v>
      </c>
      <c r="O4" s="9" t="s">
        <v>25</v>
      </c>
      <c r="P4" s="9" t="s">
        <v>25</v>
      </c>
      <c r="Q4" s="175" t="s">
        <v>25</v>
      </c>
      <c r="R4" s="175" t="s">
        <v>25</v>
      </c>
      <c r="S4" s="9"/>
    </row>
    <row r="5" spans="1:19" s="100" customFormat="1" ht="18.95" customHeight="1" x14ac:dyDescent="0.25">
      <c r="A5" s="133" t="s">
        <v>924</v>
      </c>
      <c r="B5" s="152">
        <v>150</v>
      </c>
      <c r="C5" s="152" t="s">
        <v>35</v>
      </c>
      <c r="D5" s="11">
        <f>B5</f>
        <v>150</v>
      </c>
      <c r="E5" s="12">
        <f>E6*D5/D6</f>
        <v>4.3499999999999996</v>
      </c>
      <c r="F5" s="12">
        <f>F6*D5/D6</f>
        <v>7.3031249999999996</v>
      </c>
      <c r="G5" s="12">
        <f>G6*D5/D6</f>
        <v>30.853124999999995</v>
      </c>
      <c r="H5" s="12">
        <f>H6*D5/D6</f>
        <v>206.25</v>
      </c>
      <c r="I5" s="19">
        <f>I6*D5/D6</f>
        <v>3.7499999999999999E-2</v>
      </c>
      <c r="J5" s="19">
        <f>J6*D5/D6</f>
        <v>0</v>
      </c>
      <c r="K5" s="19">
        <f>K6*D5/D6</f>
        <v>37.5</v>
      </c>
      <c r="L5" s="19">
        <f>L6*D5/D6</f>
        <v>0</v>
      </c>
      <c r="M5" s="19">
        <f>M6*D5/D6</f>
        <v>29.737500000000001</v>
      </c>
      <c r="N5" s="19">
        <f>N6*D5/D6</f>
        <v>151.19062500000001</v>
      </c>
      <c r="O5" s="19">
        <f>O6*D5/D6</f>
        <v>19.78125</v>
      </c>
      <c r="P5" s="19">
        <f>P6*D5/D6</f>
        <v>0.890625</v>
      </c>
      <c r="Q5" s="136">
        <v>171</v>
      </c>
      <c r="R5" s="136">
        <v>2011</v>
      </c>
      <c r="S5" s="98"/>
    </row>
    <row r="6" spans="1:19" s="100" customFormat="1" ht="18.95" customHeight="1" x14ac:dyDescent="0.25">
      <c r="A6" s="133" t="s">
        <v>1103</v>
      </c>
      <c r="B6" s="152"/>
      <c r="C6" s="152"/>
      <c r="D6" s="151">
        <v>160</v>
      </c>
      <c r="E6" s="151">
        <v>4.6399999999999997</v>
      </c>
      <c r="F6" s="151">
        <v>7.79</v>
      </c>
      <c r="G6" s="151">
        <v>32.909999999999997</v>
      </c>
      <c r="H6" s="151">
        <v>220</v>
      </c>
      <c r="I6" s="151">
        <v>0.04</v>
      </c>
      <c r="J6" s="151">
        <v>0</v>
      </c>
      <c r="K6" s="151">
        <v>40</v>
      </c>
      <c r="L6" s="151"/>
      <c r="M6" s="151">
        <v>31.72</v>
      </c>
      <c r="N6" s="151">
        <v>161.27000000000001</v>
      </c>
      <c r="O6" s="151">
        <v>21.1</v>
      </c>
      <c r="P6" s="151">
        <v>0.95</v>
      </c>
      <c r="Q6" s="136"/>
      <c r="R6" s="136"/>
      <c r="S6" s="98"/>
    </row>
    <row r="7" spans="1:19" s="100" customFormat="1" ht="18.95" customHeight="1" x14ac:dyDescent="0.25">
      <c r="A7" s="131" t="s">
        <v>925</v>
      </c>
      <c r="B7" s="152">
        <v>150</v>
      </c>
      <c r="C7" s="152" t="s">
        <v>36</v>
      </c>
      <c r="D7" s="11">
        <f>B7</f>
        <v>150</v>
      </c>
      <c r="E7" s="12">
        <f>E8*D7/D8</f>
        <v>8.296875</v>
      </c>
      <c r="F7" s="12">
        <f>F8*D7/D8</f>
        <v>8.953125</v>
      </c>
      <c r="G7" s="12">
        <f>G8*D7/D8</f>
        <v>37.368749999999999</v>
      </c>
      <c r="H7" s="12">
        <f>H8*D7/D8</f>
        <v>262.5</v>
      </c>
      <c r="I7" s="19">
        <f>I8*D7/D8</f>
        <v>0.19687499999999999</v>
      </c>
      <c r="J7" s="19">
        <f>J8*D7/D8</f>
        <v>0</v>
      </c>
      <c r="K7" s="19">
        <f>K8*D7/D8</f>
        <v>37.5</v>
      </c>
      <c r="L7" s="19">
        <f>L8*D7/D8</f>
        <v>0</v>
      </c>
      <c r="M7" s="19">
        <f>M8*D7/D8</f>
        <v>24.740625000000001</v>
      </c>
      <c r="N7" s="19">
        <f>N8*D7/D8</f>
        <v>197.203125</v>
      </c>
      <c r="O7" s="19">
        <f>O8*D7/D8</f>
        <v>131.73750000000001</v>
      </c>
      <c r="P7" s="19">
        <f>P8*D7/D8</f>
        <v>4.4343750000000011</v>
      </c>
      <c r="Q7" s="136">
        <v>171</v>
      </c>
      <c r="R7" s="136">
        <v>2011</v>
      </c>
      <c r="S7" s="98"/>
    </row>
    <row r="8" spans="1:19" s="100" customFormat="1" ht="18.95" customHeight="1" x14ac:dyDescent="0.25">
      <c r="A8" s="133" t="s">
        <v>1120</v>
      </c>
      <c r="B8" s="152"/>
      <c r="C8" s="152"/>
      <c r="D8" s="151">
        <v>160</v>
      </c>
      <c r="E8" s="151">
        <v>8.85</v>
      </c>
      <c r="F8" s="151">
        <v>9.5500000000000007</v>
      </c>
      <c r="G8" s="151">
        <v>39.86</v>
      </c>
      <c r="H8" s="151">
        <v>280</v>
      </c>
      <c r="I8" s="151">
        <v>0.21</v>
      </c>
      <c r="J8" s="151">
        <v>0</v>
      </c>
      <c r="K8" s="151">
        <v>40</v>
      </c>
      <c r="L8" s="151"/>
      <c r="M8" s="151">
        <v>26.39</v>
      </c>
      <c r="N8" s="151">
        <v>210.35</v>
      </c>
      <c r="O8" s="151">
        <v>140.52000000000001</v>
      </c>
      <c r="P8" s="151">
        <v>4.7300000000000004</v>
      </c>
      <c r="Q8" s="136"/>
      <c r="R8" s="136"/>
      <c r="S8" s="98"/>
    </row>
    <row r="9" spans="1:19" s="100" customFormat="1" ht="30" customHeight="1" x14ac:dyDescent="0.25">
      <c r="A9" s="133" t="s">
        <v>1094</v>
      </c>
      <c r="B9" s="152">
        <v>200</v>
      </c>
      <c r="C9" s="152" t="s">
        <v>37</v>
      </c>
      <c r="D9" s="11">
        <f>B9</f>
        <v>200</v>
      </c>
      <c r="E9" s="12">
        <f>E10*D9/D10</f>
        <v>7.8545454545454545</v>
      </c>
      <c r="F9" s="12">
        <f>F10*D9/D10</f>
        <v>10.054545454545455</v>
      </c>
      <c r="G9" s="12">
        <f>G10*D9/D10</f>
        <v>49.363636363636367</v>
      </c>
      <c r="H9" s="12">
        <f>H10*D9/D10</f>
        <v>320</v>
      </c>
      <c r="I9" s="12">
        <f>I10*D9/D10</f>
        <v>0.12727272727272729</v>
      </c>
      <c r="J9" s="12">
        <f>J10*D9/D10</f>
        <v>0.87272727272727268</v>
      </c>
      <c r="K9" s="12">
        <f>K10*D9/D10</f>
        <v>49.81818181818182</v>
      </c>
      <c r="L9" s="12">
        <f>L10*D9/D10</f>
        <v>0</v>
      </c>
      <c r="M9" s="12">
        <f>M10*D9/D10</f>
        <v>133.69999999999999</v>
      </c>
      <c r="N9" s="12">
        <f>N10*D9/D10</f>
        <v>201.18181818181819</v>
      </c>
      <c r="O9" s="12">
        <f>O10*D9/D10</f>
        <v>40.299999999999997</v>
      </c>
      <c r="P9" s="12">
        <f>P10*D9/D10</f>
        <v>2.1545454545454548</v>
      </c>
      <c r="Q9" s="136">
        <v>173</v>
      </c>
      <c r="R9" s="136">
        <v>2011</v>
      </c>
      <c r="S9" s="98"/>
    </row>
    <row r="10" spans="1:19" s="100" customFormat="1" ht="18.95" customHeight="1" x14ac:dyDescent="0.25">
      <c r="A10" s="129" t="s">
        <v>1101</v>
      </c>
      <c r="B10" s="152">
        <v>220</v>
      </c>
      <c r="C10" s="152"/>
      <c r="D10" s="151">
        <v>220</v>
      </c>
      <c r="E10" s="151">
        <v>8.64</v>
      </c>
      <c r="F10" s="151">
        <v>11.06</v>
      </c>
      <c r="G10" s="151">
        <v>54.3</v>
      </c>
      <c r="H10" s="151">
        <v>352</v>
      </c>
      <c r="I10" s="151">
        <v>0.14000000000000001</v>
      </c>
      <c r="J10" s="151">
        <v>0.96</v>
      </c>
      <c r="K10" s="151">
        <v>54.8</v>
      </c>
      <c r="L10" s="151"/>
      <c r="M10" s="151">
        <v>147.07</v>
      </c>
      <c r="N10" s="151">
        <v>221.3</v>
      </c>
      <c r="O10" s="151">
        <v>44.33</v>
      </c>
      <c r="P10" s="151">
        <v>2.37</v>
      </c>
      <c r="Q10" s="136"/>
      <c r="R10" s="136"/>
      <c r="S10" s="98"/>
    </row>
    <row r="11" spans="1:19" s="101" customFormat="1" ht="30" customHeight="1" x14ac:dyDescent="0.25">
      <c r="A11" s="133" t="s">
        <v>1128</v>
      </c>
      <c r="B11" s="152">
        <v>200</v>
      </c>
      <c r="C11" s="152" t="s">
        <v>38</v>
      </c>
      <c r="D11" s="11">
        <f>B11</f>
        <v>200</v>
      </c>
      <c r="E11" s="12">
        <f>E12*D11/D12</f>
        <v>5.4545454545454541</v>
      </c>
      <c r="F11" s="12">
        <f>F12*D11/D12</f>
        <v>9.8636363636363633</v>
      </c>
      <c r="G11" s="12">
        <f>G12*D11/D12</f>
        <v>48.118181818181817</v>
      </c>
      <c r="H11" s="12">
        <f>H12*D11/D12</f>
        <v>303.63636363636363</v>
      </c>
      <c r="I11" s="19">
        <f>I12*D11/D12</f>
        <v>5.4545454545454543E-2</v>
      </c>
      <c r="J11" s="19">
        <f>J12*D11/D12</f>
        <v>0.87272727272727268</v>
      </c>
      <c r="K11" s="19">
        <f>K12*D11/D12</f>
        <v>49.81818181818182</v>
      </c>
      <c r="L11" s="19">
        <f>L12*D11/D12</f>
        <v>0</v>
      </c>
      <c r="M11" s="19">
        <f>M12*D11/D12</f>
        <v>119.06363636363636</v>
      </c>
      <c r="N11" s="19">
        <f>N12*D11/D12</f>
        <v>143.12727272727273</v>
      </c>
      <c r="O11" s="19">
        <f>O12*D11/D12</f>
        <v>33.145454545454548</v>
      </c>
      <c r="P11" s="19">
        <f>P12*D11/D12</f>
        <v>0.57272727272727275</v>
      </c>
      <c r="Q11" s="136">
        <v>174</v>
      </c>
      <c r="R11" s="136">
        <v>2011</v>
      </c>
      <c r="S11" s="98"/>
    </row>
    <row r="12" spans="1:19" s="100" customFormat="1" ht="18.95" customHeight="1" x14ac:dyDescent="0.25">
      <c r="A12" s="133"/>
      <c r="B12" s="152"/>
      <c r="C12" s="152"/>
      <c r="D12" s="151">
        <v>220</v>
      </c>
      <c r="E12" s="151">
        <v>6</v>
      </c>
      <c r="F12" s="151">
        <v>10.85</v>
      </c>
      <c r="G12" s="151">
        <v>52.93</v>
      </c>
      <c r="H12" s="151">
        <v>334</v>
      </c>
      <c r="I12" s="151">
        <v>0.06</v>
      </c>
      <c r="J12" s="151">
        <v>0.96</v>
      </c>
      <c r="K12" s="151">
        <v>54.8</v>
      </c>
      <c r="L12" s="151"/>
      <c r="M12" s="151">
        <v>130.97</v>
      </c>
      <c r="N12" s="151">
        <v>157.44</v>
      </c>
      <c r="O12" s="151">
        <v>36.46</v>
      </c>
      <c r="P12" s="151">
        <v>0.63</v>
      </c>
      <c r="Q12" s="136"/>
      <c r="R12" s="136"/>
      <c r="S12" s="98"/>
    </row>
    <row r="13" spans="1:19" s="100" customFormat="1" ht="30" customHeight="1" x14ac:dyDescent="0.25">
      <c r="A13" s="131" t="s">
        <v>1141</v>
      </c>
      <c r="B13" s="152">
        <v>200</v>
      </c>
      <c r="C13" s="152" t="s">
        <v>39</v>
      </c>
      <c r="D13" s="11">
        <f>B13</f>
        <v>200</v>
      </c>
      <c r="E13" s="12">
        <f>E14*D13/D14</f>
        <v>5.7904761904761903</v>
      </c>
      <c r="F13" s="12">
        <f>F14*D13/D14</f>
        <v>10.647619047619047</v>
      </c>
      <c r="G13" s="12">
        <f>G14*D13/D14</f>
        <v>31.885714285714283</v>
      </c>
      <c r="H13" s="12">
        <f>H14*D13/D14</f>
        <v>247.61904761904762</v>
      </c>
      <c r="I13" s="19">
        <f>I14*D13/D14</f>
        <v>9.5238095238095233E-2</v>
      </c>
      <c r="J13" s="19">
        <f>J14*D13/D14</f>
        <v>0.91428571428571426</v>
      </c>
      <c r="K13" s="19">
        <f>K14*D13/D14</f>
        <v>52.19047619047619</v>
      </c>
      <c r="L13" s="19">
        <f>L14*D13/D14</f>
        <v>0</v>
      </c>
      <c r="M13" s="19">
        <f>M14*D13/D14</f>
        <v>127.02857142857142</v>
      </c>
      <c r="N13" s="19">
        <f>N14*D13/D14</f>
        <v>149.25714285714287</v>
      </c>
      <c r="O13" s="19">
        <f>O14*D13/D14</f>
        <v>35.44761904761905</v>
      </c>
      <c r="P13" s="19">
        <f>P14*D13/D14</f>
        <v>0.77142857142857146</v>
      </c>
      <c r="Q13" s="136">
        <v>175</v>
      </c>
      <c r="R13" s="136">
        <v>2011</v>
      </c>
      <c r="S13" s="98"/>
    </row>
    <row r="14" spans="1:19" s="100" customFormat="1" ht="18.95" customHeight="1" x14ac:dyDescent="0.25">
      <c r="A14" s="129" t="s">
        <v>1073</v>
      </c>
      <c r="B14" s="152"/>
      <c r="C14" s="152"/>
      <c r="D14" s="25">
        <v>210</v>
      </c>
      <c r="E14" s="151">
        <v>6.08</v>
      </c>
      <c r="F14" s="151">
        <v>11.18</v>
      </c>
      <c r="G14" s="151">
        <v>33.479999999999997</v>
      </c>
      <c r="H14" s="151">
        <v>260</v>
      </c>
      <c r="I14" s="151">
        <v>0.1</v>
      </c>
      <c r="J14" s="151">
        <v>0.96</v>
      </c>
      <c r="K14" s="151">
        <v>54.8</v>
      </c>
      <c r="L14" s="151"/>
      <c r="M14" s="151">
        <v>133.38</v>
      </c>
      <c r="N14" s="151">
        <v>156.72</v>
      </c>
      <c r="O14" s="151">
        <v>37.22</v>
      </c>
      <c r="P14" s="151">
        <v>0.81</v>
      </c>
      <c r="Q14" s="176"/>
      <c r="R14" s="136"/>
      <c r="S14" s="98"/>
    </row>
    <row r="15" spans="1:19" s="102" customFormat="1" ht="30" customHeight="1" x14ac:dyDescent="0.25">
      <c r="A15" s="133" t="s">
        <v>929</v>
      </c>
      <c r="B15" s="152">
        <v>200</v>
      </c>
      <c r="C15" s="152" t="s">
        <v>37</v>
      </c>
      <c r="D15" s="26">
        <f>B15</f>
        <v>200</v>
      </c>
      <c r="E15" s="12">
        <f>E16*D15/D16</f>
        <v>5.5545454545454547</v>
      </c>
      <c r="F15" s="12">
        <f>F16*D15/D16</f>
        <v>9.745454545454546</v>
      </c>
      <c r="G15" s="12">
        <f>G16*D15/D16</f>
        <v>38.509090909090908</v>
      </c>
      <c r="H15" s="12">
        <f>H16*D15/D16</f>
        <v>264.54545454545456</v>
      </c>
      <c r="I15" s="12">
        <f>I16*D15/D16</f>
        <v>7.2727272727272724E-2</v>
      </c>
      <c r="J15" s="12">
        <f>J16*D15/D16</f>
        <v>1.0636363636363637</v>
      </c>
      <c r="K15" s="12">
        <f>K16*D15/D16</f>
        <v>52.727272727272727</v>
      </c>
      <c r="L15" s="12">
        <f>L16*D15/D16</f>
        <v>0</v>
      </c>
      <c r="M15" s="12">
        <f>M16*D15/D16</f>
        <v>121.88181818181818</v>
      </c>
      <c r="N15" s="12">
        <f>N16*D15/D16</f>
        <v>107.44545454545455</v>
      </c>
      <c r="O15" s="12">
        <f>O16*D15/D16</f>
        <v>18.454545454545453</v>
      </c>
      <c r="P15" s="12">
        <f>P16*D15/D16</f>
        <v>0.45454545454545453</v>
      </c>
      <c r="Q15" s="136">
        <v>181</v>
      </c>
      <c r="R15" s="136">
        <v>2011</v>
      </c>
      <c r="S15" s="98"/>
    </row>
    <row r="16" spans="1:19" s="100" customFormat="1" ht="18.95" customHeight="1" x14ac:dyDescent="0.25">
      <c r="A16" s="133"/>
      <c r="B16" s="152"/>
      <c r="C16" s="152"/>
      <c r="D16" s="151">
        <v>220</v>
      </c>
      <c r="E16" s="151">
        <v>6.11</v>
      </c>
      <c r="F16" s="151">
        <v>10.72</v>
      </c>
      <c r="G16" s="151">
        <v>42.36</v>
      </c>
      <c r="H16" s="151">
        <v>291</v>
      </c>
      <c r="I16" s="151">
        <v>0.08</v>
      </c>
      <c r="J16" s="151">
        <v>1.17</v>
      </c>
      <c r="K16" s="151">
        <v>58</v>
      </c>
      <c r="L16" s="151"/>
      <c r="M16" s="151">
        <v>134.07</v>
      </c>
      <c r="N16" s="151">
        <v>118.19</v>
      </c>
      <c r="O16" s="151">
        <v>20.3</v>
      </c>
      <c r="P16" s="151">
        <v>0.5</v>
      </c>
      <c r="Q16" s="136"/>
      <c r="R16" s="136"/>
      <c r="S16" s="98"/>
    </row>
    <row r="17" spans="1:19" s="100" customFormat="1" ht="18.95" customHeight="1" x14ac:dyDescent="0.25">
      <c r="A17" s="133" t="s">
        <v>930</v>
      </c>
      <c r="B17" s="152">
        <v>150</v>
      </c>
      <c r="C17" s="152">
        <v>120</v>
      </c>
      <c r="D17" s="11">
        <f>B17</f>
        <v>150</v>
      </c>
      <c r="E17" s="12">
        <f>E18*D17/D18</f>
        <v>8.6374999999999993</v>
      </c>
      <c r="F17" s="12">
        <f>F18*D17/D18</f>
        <v>6.6749999999999998</v>
      </c>
      <c r="G17" s="12">
        <f>G18*D17/D18</f>
        <v>49.412500000000001</v>
      </c>
      <c r="H17" s="12">
        <f>H18*D17/D18</f>
        <v>295</v>
      </c>
      <c r="I17" s="12">
        <f>I18*D17/D18</f>
        <v>0.05</v>
      </c>
      <c r="J17" s="12">
        <f>J18*D17/D18</f>
        <v>0.3</v>
      </c>
      <c r="K17" s="12">
        <f>K18*D17/D18</f>
        <v>30</v>
      </c>
      <c r="L17" s="12">
        <f>L18*D17/D18</f>
        <v>0</v>
      </c>
      <c r="M17" s="12">
        <f>M18*D17/D18</f>
        <v>124.9</v>
      </c>
      <c r="N17" s="12">
        <f>N18*D17/D18</f>
        <v>163.85000000000002</v>
      </c>
      <c r="O17" s="12">
        <f>O18*D17/D18</f>
        <v>31.637499999999999</v>
      </c>
      <c r="P17" s="12">
        <f>P18*D17/D18</f>
        <v>0.76249999999999996</v>
      </c>
      <c r="Q17" s="136">
        <v>188</v>
      </c>
      <c r="R17" s="136">
        <v>2011</v>
      </c>
      <c r="S17" s="98"/>
    </row>
    <row r="18" spans="1:19" s="100" customFormat="1" ht="18.95" customHeight="1" x14ac:dyDescent="0.25">
      <c r="A18" s="133"/>
      <c r="B18" s="152"/>
      <c r="C18" s="152"/>
      <c r="D18" s="151">
        <v>120</v>
      </c>
      <c r="E18" s="151">
        <v>6.91</v>
      </c>
      <c r="F18" s="151">
        <v>5.34</v>
      </c>
      <c r="G18" s="151">
        <v>39.53</v>
      </c>
      <c r="H18" s="151">
        <v>236</v>
      </c>
      <c r="I18" s="151">
        <v>0.04</v>
      </c>
      <c r="J18" s="151">
        <v>0.24</v>
      </c>
      <c r="K18" s="151">
        <v>24</v>
      </c>
      <c r="L18" s="151"/>
      <c r="M18" s="151">
        <v>99.92</v>
      </c>
      <c r="N18" s="151">
        <v>131.08000000000001</v>
      </c>
      <c r="O18" s="151">
        <v>25.31</v>
      </c>
      <c r="P18" s="151">
        <v>0.61</v>
      </c>
      <c r="Q18" s="136"/>
      <c r="R18" s="136"/>
      <c r="S18" s="98"/>
    </row>
    <row r="19" spans="1:19" s="100" customFormat="1" ht="18.95" customHeight="1" x14ac:dyDescent="0.25">
      <c r="A19" s="133" t="s">
        <v>931</v>
      </c>
      <c r="B19" s="152">
        <v>150</v>
      </c>
      <c r="C19" s="152">
        <v>120</v>
      </c>
      <c r="D19" s="11">
        <f>B19</f>
        <v>150</v>
      </c>
      <c r="E19" s="12">
        <f>E20*D19/D20</f>
        <v>6.7374999999999998</v>
      </c>
      <c r="F19" s="12">
        <f>F20*D19/D20</f>
        <v>8.6374999999999993</v>
      </c>
      <c r="G19" s="12">
        <f>G20*D19/D20</f>
        <v>49.662499999999994</v>
      </c>
      <c r="H19" s="12">
        <f>H20*D19/D20</f>
        <v>303.75</v>
      </c>
      <c r="I19" s="12">
        <f>I20*D19/D20</f>
        <v>0.05</v>
      </c>
      <c r="J19" s="12">
        <f>J20*D19/D20</f>
        <v>0.26250000000000001</v>
      </c>
      <c r="K19" s="12">
        <f>K20*D19/D20</f>
        <v>42</v>
      </c>
      <c r="L19" s="12">
        <f>L20*D19/D20</f>
        <v>0</v>
      </c>
      <c r="M19" s="12">
        <f>M20*D19/D20</f>
        <v>136.80000000000001</v>
      </c>
      <c r="N19" s="12">
        <f>N20*D19/D20</f>
        <v>159.88749999999999</v>
      </c>
      <c r="O19" s="12">
        <f>O20*D19/D20</f>
        <v>31.95</v>
      </c>
      <c r="P19" s="12">
        <f>P20*D19/D20</f>
        <v>0.85000000000000009</v>
      </c>
      <c r="Q19" s="136">
        <v>190</v>
      </c>
      <c r="R19" s="136">
        <v>2011</v>
      </c>
      <c r="S19" s="98"/>
    </row>
    <row r="20" spans="1:19" s="100" customFormat="1" ht="18.95" customHeight="1" x14ac:dyDescent="0.25">
      <c r="A20" s="133"/>
      <c r="B20" s="152"/>
      <c r="C20" s="152"/>
      <c r="D20" s="151">
        <v>120</v>
      </c>
      <c r="E20" s="151">
        <v>5.39</v>
      </c>
      <c r="F20" s="151">
        <v>6.91</v>
      </c>
      <c r="G20" s="151">
        <v>39.729999999999997</v>
      </c>
      <c r="H20" s="151">
        <v>243</v>
      </c>
      <c r="I20" s="151">
        <v>0.04</v>
      </c>
      <c r="J20" s="151">
        <v>0.21</v>
      </c>
      <c r="K20" s="151">
        <v>33.6</v>
      </c>
      <c r="L20" s="151"/>
      <c r="M20" s="151">
        <v>109.44</v>
      </c>
      <c r="N20" s="151">
        <v>127.91</v>
      </c>
      <c r="O20" s="151">
        <v>25.56</v>
      </c>
      <c r="P20" s="151">
        <v>0.68</v>
      </c>
      <c r="Q20" s="136"/>
      <c r="R20" s="136"/>
      <c r="S20" s="98"/>
    </row>
    <row r="21" spans="1:19" s="100" customFormat="1" ht="18.95" customHeight="1" x14ac:dyDescent="0.25">
      <c r="A21" s="131" t="s">
        <v>1062</v>
      </c>
      <c r="B21" s="152">
        <v>150</v>
      </c>
      <c r="C21" s="152">
        <v>110</v>
      </c>
      <c r="D21" s="11">
        <f>B21</f>
        <v>150</v>
      </c>
      <c r="E21" s="12">
        <f>E22*D21/D22</f>
        <v>5.4571428571428573</v>
      </c>
      <c r="F21" s="12">
        <f>F22*D21/D22</f>
        <v>5.7857142857142856</v>
      </c>
      <c r="G21" s="12">
        <f>G22*D21/D22</f>
        <v>30.457142857142856</v>
      </c>
      <c r="H21" s="12">
        <f>H22*D21/D22</f>
        <v>195.71428571428572</v>
      </c>
      <c r="I21" s="12">
        <f>I22*D21/D22</f>
        <v>5.7142857142857141E-2</v>
      </c>
      <c r="J21" s="12">
        <f>J22*D21/D22</f>
        <v>0</v>
      </c>
      <c r="K21" s="12">
        <f>K22*D21/D22</f>
        <v>28.571428571428573</v>
      </c>
      <c r="L21" s="12">
        <f>L22*D21/D22</f>
        <v>0</v>
      </c>
      <c r="M21" s="12">
        <f>M22*D21/D22</f>
        <v>12.142857142857142</v>
      </c>
      <c r="N21" s="12">
        <f>N22*D21/D22</f>
        <v>37.571428571428569</v>
      </c>
      <c r="O21" s="12">
        <f>O22*D21/D22</f>
        <v>8.1428571428571423</v>
      </c>
      <c r="P21" s="12">
        <f>P22*D21/D22</f>
        <v>0.81428571428571417</v>
      </c>
      <c r="Q21" s="136">
        <v>203</v>
      </c>
      <c r="R21" s="136">
        <v>2011</v>
      </c>
      <c r="S21" s="98"/>
    </row>
    <row r="22" spans="1:19" s="100" customFormat="1" ht="18.95" customHeight="1" x14ac:dyDescent="0.25">
      <c r="A22" s="133" t="s">
        <v>1083</v>
      </c>
      <c r="B22" s="152"/>
      <c r="C22" s="152"/>
      <c r="D22" s="151">
        <v>105</v>
      </c>
      <c r="E22" s="151">
        <v>3.82</v>
      </c>
      <c r="F22" s="151">
        <v>4.05</v>
      </c>
      <c r="G22" s="151">
        <v>21.32</v>
      </c>
      <c r="H22" s="151">
        <v>137</v>
      </c>
      <c r="I22" s="151">
        <v>0.04</v>
      </c>
      <c r="J22" s="151">
        <v>0</v>
      </c>
      <c r="K22" s="151">
        <v>20</v>
      </c>
      <c r="L22" s="151"/>
      <c r="M22" s="151">
        <v>8.5</v>
      </c>
      <c r="N22" s="151">
        <v>26.3</v>
      </c>
      <c r="O22" s="151">
        <v>5.7</v>
      </c>
      <c r="P22" s="151">
        <v>0.56999999999999995</v>
      </c>
      <c r="Q22" s="136"/>
      <c r="R22" s="136"/>
      <c r="S22" s="98"/>
    </row>
    <row r="23" spans="1:19" s="100" customFormat="1" ht="18.95" customHeight="1" x14ac:dyDescent="0.25">
      <c r="A23" s="133" t="s">
        <v>40</v>
      </c>
      <c r="B23" s="152">
        <v>150</v>
      </c>
      <c r="C23" s="152">
        <v>110</v>
      </c>
      <c r="D23" s="11">
        <f>B23</f>
        <v>150</v>
      </c>
      <c r="E23" s="12">
        <f>E24*D23/D24</f>
        <v>13.939655172413794</v>
      </c>
      <c r="F23" s="12">
        <f>F24*D23/D24</f>
        <v>24.827586206896552</v>
      </c>
      <c r="G23" s="12">
        <f>G24*D23/D24</f>
        <v>2.6379310344827585</v>
      </c>
      <c r="H23" s="12">
        <f>H24*D23/D24</f>
        <v>289.65517241379308</v>
      </c>
      <c r="I23" s="12">
        <f>I24*D23/D24</f>
        <v>0.10344827586206896</v>
      </c>
      <c r="J23" s="12">
        <f>J24*D23/D24</f>
        <v>0.25862068965517243</v>
      </c>
      <c r="K23" s="12">
        <f>K24*D23/D24</f>
        <v>324.56896551724139</v>
      </c>
      <c r="L23" s="12">
        <f>L24*D23/D24</f>
        <v>0</v>
      </c>
      <c r="M23" s="12">
        <f>M24*D23/D24</f>
        <v>103.08620689655173</v>
      </c>
      <c r="N23" s="12">
        <f>N24*D23/D24</f>
        <v>225.80172413793105</v>
      </c>
      <c r="O23" s="12">
        <f>O24*D23/D24</f>
        <v>16.137931034482758</v>
      </c>
      <c r="P23" s="12">
        <f>P24*D23/D24</f>
        <v>2.6379310344827585</v>
      </c>
      <c r="Q23" s="136">
        <v>210</v>
      </c>
      <c r="R23" s="136">
        <v>2011</v>
      </c>
      <c r="S23" s="98"/>
    </row>
    <row r="24" spans="1:19" s="100" customFormat="1" ht="18.95" customHeight="1" x14ac:dyDescent="0.25">
      <c r="A24" s="133"/>
      <c r="B24" s="152"/>
      <c r="C24" s="152"/>
      <c r="D24" s="151">
        <v>58</v>
      </c>
      <c r="E24" s="151">
        <v>5.39</v>
      </c>
      <c r="F24" s="151">
        <v>9.6</v>
      </c>
      <c r="G24" s="151">
        <v>1.02</v>
      </c>
      <c r="H24" s="151">
        <v>112</v>
      </c>
      <c r="I24" s="151">
        <v>0.04</v>
      </c>
      <c r="J24" s="151">
        <v>0.1</v>
      </c>
      <c r="K24" s="151">
        <v>125.5</v>
      </c>
      <c r="L24" s="151"/>
      <c r="M24" s="151">
        <v>39.86</v>
      </c>
      <c r="N24" s="151">
        <v>87.31</v>
      </c>
      <c r="O24" s="151">
        <v>6.24</v>
      </c>
      <c r="P24" s="151">
        <v>1.02</v>
      </c>
      <c r="Q24" s="136"/>
      <c r="R24" s="136"/>
      <c r="S24" s="98"/>
    </row>
    <row r="25" spans="1:19" s="95" customFormat="1" ht="18.95" customHeight="1" x14ac:dyDescent="0.25">
      <c r="A25" s="133" t="s">
        <v>1031</v>
      </c>
      <c r="B25" s="191">
        <v>150</v>
      </c>
      <c r="C25" s="191">
        <v>110</v>
      </c>
      <c r="D25" s="11">
        <f>B25</f>
        <v>150</v>
      </c>
      <c r="E25" s="12">
        <f>E26*D25/D26</f>
        <v>17.925000000000001</v>
      </c>
      <c r="F25" s="12">
        <f>F26*D25/D26</f>
        <v>29.422499999999996</v>
      </c>
      <c r="G25" s="12">
        <f>G26*D25/D26</f>
        <v>2.5499999999999998</v>
      </c>
      <c r="H25" s="12">
        <f>H26*D25/D26</f>
        <v>347.4975</v>
      </c>
      <c r="I25" s="12">
        <f>I26*D25/D26</f>
        <v>9.7500000000000003E-2</v>
      </c>
      <c r="J25" s="12">
        <f>J26*D25/D26</f>
        <v>0.32250000000000001</v>
      </c>
      <c r="K25" s="12">
        <f>K26*D25/D26</f>
        <v>363</v>
      </c>
      <c r="L25" s="12">
        <f>L26*D25/D26</f>
        <v>0</v>
      </c>
      <c r="M25" s="12">
        <f>M26*D25/D26</f>
        <v>261.5025</v>
      </c>
      <c r="N25" s="12">
        <f>N26*D25/D26</f>
        <v>312.2475</v>
      </c>
      <c r="O25" s="12">
        <f>O26*D25/D26</f>
        <v>21.824999999999999</v>
      </c>
      <c r="P25" s="12">
        <f>P26*D25/D26</f>
        <v>2.7524999999999999</v>
      </c>
      <c r="Q25" s="136">
        <v>221</v>
      </c>
      <c r="R25" s="136">
        <v>2011</v>
      </c>
      <c r="S25" s="13"/>
    </row>
    <row r="26" spans="1:19" s="95" customFormat="1" ht="18.95" customHeight="1" x14ac:dyDescent="0.25">
      <c r="A26" s="129"/>
      <c r="B26" s="152"/>
      <c r="C26" s="152"/>
      <c r="D26" s="151">
        <v>200</v>
      </c>
      <c r="E26" s="151">
        <v>23.9</v>
      </c>
      <c r="F26" s="151">
        <v>39.229999999999997</v>
      </c>
      <c r="G26" s="151">
        <v>3.4</v>
      </c>
      <c r="H26" s="151">
        <v>463.33</v>
      </c>
      <c r="I26" s="152">
        <v>0.13</v>
      </c>
      <c r="J26" s="152">
        <v>0.43</v>
      </c>
      <c r="K26" s="152">
        <v>484</v>
      </c>
      <c r="L26" s="152">
        <v>0</v>
      </c>
      <c r="M26" s="152">
        <v>348.67</v>
      </c>
      <c r="N26" s="152">
        <v>416.33</v>
      </c>
      <c r="O26" s="152">
        <v>29.1</v>
      </c>
      <c r="P26" s="152">
        <v>3.67</v>
      </c>
      <c r="Q26" s="136"/>
      <c r="R26" s="136"/>
      <c r="S26" s="13"/>
    </row>
    <row r="27" spans="1:19" s="96" customFormat="1" ht="18.95" customHeight="1" x14ac:dyDescent="0.25">
      <c r="A27" s="133" t="s">
        <v>1033</v>
      </c>
      <c r="B27" s="152">
        <v>150</v>
      </c>
      <c r="C27" s="152" t="s">
        <v>35</v>
      </c>
      <c r="D27" s="11">
        <f>B27</f>
        <v>150</v>
      </c>
      <c r="E27" s="12">
        <f>E28*D27/D28</f>
        <v>19.414285714285715</v>
      </c>
      <c r="F27" s="12">
        <v>10.39</v>
      </c>
      <c r="G27" s="12">
        <v>37.520000000000003</v>
      </c>
      <c r="H27" s="12">
        <v>378.2</v>
      </c>
      <c r="I27" s="19">
        <f>I28*D27/D28</f>
        <v>0.11142857142857143</v>
      </c>
      <c r="J27" s="19">
        <f>J28*D27/D28</f>
        <v>0.45</v>
      </c>
      <c r="K27" s="19">
        <f>K28*D27/D28</f>
        <v>99.59999999999998</v>
      </c>
      <c r="L27" s="19">
        <f>L28*D27/D28</f>
        <v>0</v>
      </c>
      <c r="M27" s="19">
        <f>M28*D27/D28</f>
        <v>272.16428571428571</v>
      </c>
      <c r="N27" s="19">
        <f>N28*D27/D28</f>
        <v>301.22142857142859</v>
      </c>
      <c r="O27" s="19">
        <f>O28*D27/D28</f>
        <v>40.478571428571428</v>
      </c>
      <c r="P27" s="19">
        <f>P28*D27/D28</f>
        <v>1.2214285714285713</v>
      </c>
      <c r="Q27" s="136">
        <v>222</v>
      </c>
      <c r="R27" s="136">
        <v>2011</v>
      </c>
      <c r="S27" s="98"/>
    </row>
    <row r="28" spans="1:19" s="96" customFormat="1" ht="18.95" customHeight="1" x14ac:dyDescent="0.25">
      <c r="A28" s="133"/>
      <c r="B28" s="152"/>
      <c r="C28" s="152"/>
      <c r="D28" s="151">
        <v>70</v>
      </c>
      <c r="E28" s="151">
        <v>9.06</v>
      </c>
      <c r="F28" s="151">
        <v>7.09</v>
      </c>
      <c r="G28" s="151">
        <v>23.21</v>
      </c>
      <c r="H28" s="151">
        <v>193</v>
      </c>
      <c r="I28" s="151">
        <v>5.1999999999999998E-2</v>
      </c>
      <c r="J28" s="151">
        <v>0.21</v>
      </c>
      <c r="K28" s="151">
        <v>46.48</v>
      </c>
      <c r="L28" s="151"/>
      <c r="M28" s="151">
        <v>127.01</v>
      </c>
      <c r="N28" s="151">
        <v>140.57</v>
      </c>
      <c r="O28" s="151">
        <v>18.89</v>
      </c>
      <c r="P28" s="151">
        <v>0.56999999999999995</v>
      </c>
      <c r="Q28" s="136"/>
      <c r="R28" s="136"/>
      <c r="S28" s="98"/>
    </row>
    <row r="29" spans="1:19" s="96" customFormat="1" ht="18.95" customHeight="1" x14ac:dyDescent="0.25">
      <c r="A29" s="133" t="s">
        <v>932</v>
      </c>
      <c r="B29" s="152">
        <v>150</v>
      </c>
      <c r="C29" s="152" t="s">
        <v>35</v>
      </c>
      <c r="D29" s="11">
        <f>B29</f>
        <v>150</v>
      </c>
      <c r="E29" s="12">
        <f>E30*D29/D30</f>
        <v>21.921428571428571</v>
      </c>
      <c r="F29" s="12">
        <f>F30*D29/D30</f>
        <v>16.585714285714285</v>
      </c>
      <c r="G29" s="12">
        <v>62</v>
      </c>
      <c r="H29" s="12">
        <f>H30*D29/D30</f>
        <v>405</v>
      </c>
      <c r="I29" s="19">
        <f>I30*D29/D30</f>
        <v>9.0000000000000011E-2</v>
      </c>
      <c r="J29" s="19">
        <f>J30*D29/D30</f>
        <v>0.70714285714285718</v>
      </c>
      <c r="K29" s="19">
        <f>K30*D29/D30</f>
        <v>97.5</v>
      </c>
      <c r="L29" s="19">
        <f>L30*D29/D30</f>
        <v>0</v>
      </c>
      <c r="M29" s="19">
        <f>M30*D29/D30</f>
        <v>293.37857142857143</v>
      </c>
      <c r="N29" s="19">
        <f>N30*D29/D30</f>
        <v>322.73571428571432</v>
      </c>
      <c r="O29" s="19">
        <f>O30*D29/D30</f>
        <v>39.835714285714289</v>
      </c>
      <c r="P29" s="19">
        <f>P30*D29/D30</f>
        <v>0.9642857142857143</v>
      </c>
      <c r="Q29" s="136">
        <v>223</v>
      </c>
      <c r="R29" s="136">
        <v>2011</v>
      </c>
      <c r="S29" s="98"/>
    </row>
    <row r="30" spans="1:19" s="96" customFormat="1" ht="18.95" customHeight="1" x14ac:dyDescent="0.25">
      <c r="A30" s="133"/>
      <c r="B30" s="152"/>
      <c r="C30" s="152"/>
      <c r="D30" s="151">
        <v>70</v>
      </c>
      <c r="E30" s="151">
        <v>10.23</v>
      </c>
      <c r="F30" s="151">
        <v>7.74</v>
      </c>
      <c r="G30" s="151">
        <v>19.600000000000001</v>
      </c>
      <c r="H30" s="151">
        <v>189</v>
      </c>
      <c r="I30" s="151">
        <v>4.2000000000000003E-2</v>
      </c>
      <c r="J30" s="151">
        <v>0.33</v>
      </c>
      <c r="K30" s="151">
        <v>45.5</v>
      </c>
      <c r="L30" s="151"/>
      <c r="M30" s="151">
        <v>136.91</v>
      </c>
      <c r="N30" s="151">
        <v>150.61000000000001</v>
      </c>
      <c r="O30" s="151">
        <v>18.59</v>
      </c>
      <c r="P30" s="151">
        <v>0.45</v>
      </c>
      <c r="Q30" s="136"/>
      <c r="R30" s="136"/>
      <c r="S30" s="98"/>
    </row>
    <row r="31" spans="1:19" s="100" customFormat="1" ht="18.95" customHeight="1" x14ac:dyDescent="0.25">
      <c r="A31" s="131" t="s">
        <v>41</v>
      </c>
      <c r="B31" s="152">
        <v>150</v>
      </c>
      <c r="C31" s="152">
        <v>100</v>
      </c>
      <c r="D31" s="11">
        <f>B31</f>
        <v>150</v>
      </c>
      <c r="E31" s="12">
        <f>E32*D31/D32</f>
        <v>3.6509999999999998</v>
      </c>
      <c r="F31" s="12">
        <f>F32*D31/D32</f>
        <v>5.3745000000000003</v>
      </c>
      <c r="G31" s="12">
        <f>G32*D31/D32</f>
        <v>36.683999999999997</v>
      </c>
      <c r="H31" s="12">
        <f>H32*D31/D32</f>
        <v>209.7</v>
      </c>
      <c r="I31" s="12">
        <f>I32*D31/D32</f>
        <v>2.5500000000000002E-2</v>
      </c>
      <c r="J31" s="12">
        <f>J32*D31/D32</f>
        <v>0</v>
      </c>
      <c r="K31" s="12">
        <f>K32*D31/D32</f>
        <v>0</v>
      </c>
      <c r="L31" s="12">
        <f>L32*D31/D32</f>
        <v>0</v>
      </c>
      <c r="M31" s="12">
        <f>M32*D31/D32</f>
        <v>1.365</v>
      </c>
      <c r="N31" s="12">
        <f>N32*D31/D32</f>
        <v>60.945</v>
      </c>
      <c r="O31" s="12">
        <f>O32*D31/D32</f>
        <v>16.335000000000001</v>
      </c>
      <c r="P31" s="12">
        <f>P32*D31/D32</f>
        <v>0.52649999999999997</v>
      </c>
      <c r="Q31" s="136">
        <v>304</v>
      </c>
      <c r="R31" s="136">
        <v>2011</v>
      </c>
      <c r="S31" s="98"/>
    </row>
    <row r="32" spans="1:19" s="100" customFormat="1" ht="18.95" customHeight="1" x14ac:dyDescent="0.25">
      <c r="A32" s="131" t="s">
        <v>1056</v>
      </c>
      <c r="B32" s="152"/>
      <c r="C32" s="152"/>
      <c r="D32" s="152">
        <v>1000</v>
      </c>
      <c r="E32" s="152">
        <v>24.34</v>
      </c>
      <c r="F32" s="152">
        <v>35.83</v>
      </c>
      <c r="G32" s="151">
        <v>244.56</v>
      </c>
      <c r="H32" s="151">
        <v>1398</v>
      </c>
      <c r="I32" s="152">
        <v>0.17</v>
      </c>
      <c r="J32" s="152">
        <v>0</v>
      </c>
      <c r="K32" s="152">
        <v>0</v>
      </c>
      <c r="L32" s="152"/>
      <c r="M32" s="152">
        <v>9.1</v>
      </c>
      <c r="N32" s="152">
        <v>406.3</v>
      </c>
      <c r="O32" s="152">
        <v>108.9</v>
      </c>
      <c r="P32" s="24">
        <v>3.51</v>
      </c>
      <c r="Q32" s="136"/>
      <c r="R32" s="136"/>
      <c r="S32" s="98"/>
    </row>
    <row r="33" spans="1:19" s="100" customFormat="1" ht="18.95" customHeight="1" x14ac:dyDescent="0.25">
      <c r="A33" s="131" t="s">
        <v>163</v>
      </c>
      <c r="B33" s="152">
        <v>150</v>
      </c>
      <c r="C33" s="152">
        <v>100</v>
      </c>
      <c r="D33" s="11">
        <f>B33</f>
        <v>150</v>
      </c>
      <c r="E33" s="12">
        <f>E34*D33/D34</f>
        <v>2.859</v>
      </c>
      <c r="F33" s="12">
        <f>F34*D33/D34</f>
        <v>4.3185000000000002</v>
      </c>
      <c r="G33" s="12">
        <f>G34*D33/D34</f>
        <v>23.012999999999998</v>
      </c>
      <c r="H33" s="12">
        <f>H34*D33/D34</f>
        <v>142.35</v>
      </c>
      <c r="I33" s="12">
        <f>I34*D33/D34</f>
        <v>0.153</v>
      </c>
      <c r="J33" s="12">
        <f>J34*D33/D34</f>
        <v>21</v>
      </c>
      <c r="K33" s="12">
        <f>K34*D33/D34</f>
        <v>0</v>
      </c>
      <c r="L33" s="12">
        <f>L34*D33/D34</f>
        <v>0</v>
      </c>
      <c r="M33" s="12">
        <f>M34*D33/D34</f>
        <v>14.64</v>
      </c>
      <c r="N33" s="12">
        <f>N34*D33/D34</f>
        <v>79.724999999999994</v>
      </c>
      <c r="O33" s="12">
        <f>O34*D33/D34</f>
        <v>29.324999999999999</v>
      </c>
      <c r="P33" s="12">
        <f>P34*D33/D34</f>
        <v>1.1565000000000001</v>
      </c>
      <c r="Q33" s="136">
        <v>310</v>
      </c>
      <c r="R33" s="136">
        <v>2011</v>
      </c>
      <c r="S33" s="98"/>
    </row>
    <row r="34" spans="1:19" s="100" customFormat="1" ht="18.95" customHeight="1" x14ac:dyDescent="0.25">
      <c r="A34" s="131" t="s">
        <v>1039</v>
      </c>
      <c r="B34" s="152"/>
      <c r="C34" s="152"/>
      <c r="D34" s="152">
        <v>1000</v>
      </c>
      <c r="E34" s="152">
        <v>19.059999999999999</v>
      </c>
      <c r="F34" s="152">
        <v>28.79</v>
      </c>
      <c r="G34" s="151">
        <v>153.41999999999999</v>
      </c>
      <c r="H34" s="151">
        <v>949</v>
      </c>
      <c r="I34" s="152">
        <v>1.02</v>
      </c>
      <c r="J34" s="152">
        <v>140</v>
      </c>
      <c r="K34" s="152">
        <v>0</v>
      </c>
      <c r="L34" s="152"/>
      <c r="M34" s="152">
        <v>97.6</v>
      </c>
      <c r="N34" s="152">
        <v>531.5</v>
      </c>
      <c r="O34" s="152">
        <v>195.5</v>
      </c>
      <c r="P34" s="24">
        <v>7.71</v>
      </c>
      <c r="Q34" s="136"/>
      <c r="R34" s="136"/>
      <c r="S34" s="98"/>
    </row>
    <row r="35" spans="1:19" s="100" customFormat="1" ht="18.95" customHeight="1" x14ac:dyDescent="0.25">
      <c r="A35" s="131" t="s">
        <v>1044</v>
      </c>
      <c r="B35" s="152">
        <v>150</v>
      </c>
      <c r="C35" s="152" t="s">
        <v>42</v>
      </c>
      <c r="D35" s="11">
        <f>B35</f>
        <v>150</v>
      </c>
      <c r="E35" s="12">
        <f>E36*D35/D36</f>
        <v>3.0644999999999998</v>
      </c>
      <c r="F35" s="12">
        <f>F36*D35/D36</f>
        <v>4.8014999999999999</v>
      </c>
      <c r="G35" s="12">
        <f>G36*D35/D36</f>
        <v>20.439</v>
      </c>
      <c r="H35" s="12">
        <f>H36*D35/D36</f>
        <v>137.25</v>
      </c>
      <c r="I35" s="19">
        <f>I36*D35/D36</f>
        <v>0.13950000000000001</v>
      </c>
      <c r="J35" s="19">
        <f>J36*D35/D36</f>
        <v>18.160499999999999</v>
      </c>
      <c r="K35" s="19">
        <f>K36*D35/D36</f>
        <v>0</v>
      </c>
      <c r="L35" s="19">
        <f>L36*D35/D36</f>
        <v>0</v>
      </c>
      <c r="M35" s="19">
        <f>M36*D35/D36</f>
        <v>36.975000000000001</v>
      </c>
      <c r="N35" s="19">
        <f>N36*D35/D36</f>
        <v>86.594999999999999</v>
      </c>
      <c r="O35" s="19">
        <f>O36*D35/D36</f>
        <v>27.75</v>
      </c>
      <c r="P35" s="19">
        <f>P36*D35/D36</f>
        <v>1.0095000000000001</v>
      </c>
      <c r="Q35" s="136">
        <v>312</v>
      </c>
      <c r="R35" s="136">
        <v>2011</v>
      </c>
      <c r="S35" s="98"/>
    </row>
    <row r="36" spans="1:19" s="100" customFormat="1" ht="18.95" customHeight="1" x14ac:dyDescent="0.25">
      <c r="A36" s="133"/>
      <c r="B36" s="152"/>
      <c r="C36" s="152"/>
      <c r="D36" s="151">
        <v>1000</v>
      </c>
      <c r="E36" s="151">
        <v>20.43</v>
      </c>
      <c r="F36" s="151">
        <v>32.01</v>
      </c>
      <c r="G36" s="151">
        <v>136.26</v>
      </c>
      <c r="H36" s="151">
        <v>915</v>
      </c>
      <c r="I36" s="151">
        <v>0.93</v>
      </c>
      <c r="J36" s="151">
        <v>121.07</v>
      </c>
      <c r="K36" s="151">
        <v>0</v>
      </c>
      <c r="L36" s="151"/>
      <c r="M36" s="151">
        <v>246.5</v>
      </c>
      <c r="N36" s="151">
        <v>577.29999999999995</v>
      </c>
      <c r="O36" s="151">
        <v>185</v>
      </c>
      <c r="P36" s="151">
        <v>6.73</v>
      </c>
      <c r="Q36" s="136"/>
      <c r="R36" s="136"/>
      <c r="S36" s="98"/>
    </row>
    <row r="37" spans="1:19" s="100" customFormat="1" ht="18.95" customHeight="1" x14ac:dyDescent="0.25">
      <c r="A37" s="131" t="s">
        <v>1060</v>
      </c>
      <c r="B37" s="152">
        <v>150</v>
      </c>
      <c r="C37" s="152">
        <v>125</v>
      </c>
      <c r="D37" s="11">
        <f>B37</f>
        <v>150</v>
      </c>
      <c r="E37" s="12">
        <f>E38*D37/D38</f>
        <v>2.7705000000000002</v>
      </c>
      <c r="F37" s="12">
        <f>F38*D37/D38</f>
        <v>4.8360000000000003</v>
      </c>
      <c r="G37" s="12">
        <f>G38*D37/D38</f>
        <v>10.785</v>
      </c>
      <c r="H37" s="12">
        <f>H38*D37/D38</f>
        <v>97.8</v>
      </c>
      <c r="I37" s="19">
        <f>I38*D37/D38</f>
        <v>2.7E-2</v>
      </c>
      <c r="J37" s="19">
        <f>J38*D37/D38</f>
        <v>15.388500000000001</v>
      </c>
      <c r="K37" s="19">
        <f>K38*D37/D38</f>
        <v>0</v>
      </c>
      <c r="L37" s="19">
        <f>L38*D37/D38</f>
        <v>0</v>
      </c>
      <c r="M37" s="19">
        <f>M38*D37/D38</f>
        <v>73.185000000000002</v>
      </c>
      <c r="N37" s="19">
        <f>N38*D37/D38</f>
        <v>54.09</v>
      </c>
      <c r="O37" s="19">
        <f>O38*D37/D38</f>
        <v>27.824999999999999</v>
      </c>
      <c r="P37" s="19">
        <f>P38*D37/D38</f>
        <v>1.0920000000000001</v>
      </c>
      <c r="Q37" s="136">
        <v>321</v>
      </c>
      <c r="R37" s="136">
        <v>2011</v>
      </c>
      <c r="S37" s="98"/>
    </row>
    <row r="38" spans="1:19" s="100" customFormat="1" ht="18.95" customHeight="1" x14ac:dyDescent="0.25">
      <c r="A38" s="133" t="s">
        <v>1070</v>
      </c>
      <c r="B38" s="152"/>
      <c r="C38" s="152"/>
      <c r="D38" s="151">
        <v>1000</v>
      </c>
      <c r="E38" s="151">
        <v>18.47</v>
      </c>
      <c r="F38" s="151">
        <v>32.24</v>
      </c>
      <c r="G38" s="151">
        <v>71.900000000000006</v>
      </c>
      <c r="H38" s="151">
        <v>652</v>
      </c>
      <c r="I38" s="151">
        <v>0.18</v>
      </c>
      <c r="J38" s="151">
        <v>102.59</v>
      </c>
      <c r="K38" s="151">
        <v>0</v>
      </c>
      <c r="L38" s="151"/>
      <c r="M38" s="151">
        <v>487.9</v>
      </c>
      <c r="N38" s="151">
        <v>360.6</v>
      </c>
      <c r="O38" s="151">
        <v>185.5</v>
      </c>
      <c r="P38" s="151">
        <v>7.28</v>
      </c>
      <c r="Q38" s="136"/>
      <c r="R38" s="136"/>
      <c r="S38" s="98"/>
    </row>
    <row r="39" spans="1:19" s="100" customFormat="1" ht="18.95" customHeight="1" x14ac:dyDescent="0.25">
      <c r="A39" s="131" t="s">
        <v>933</v>
      </c>
      <c r="B39" s="152">
        <v>150</v>
      </c>
      <c r="C39" s="152">
        <v>100</v>
      </c>
      <c r="D39" s="11">
        <f>B39</f>
        <v>150</v>
      </c>
      <c r="E39" s="12">
        <f>E40*D39/D40</f>
        <v>3.0975000000000001</v>
      </c>
      <c r="F39" s="12">
        <f>F40*D39/D40</f>
        <v>4.8555000000000001</v>
      </c>
      <c r="G39" s="12">
        <f>G40*D39/D40</f>
        <v>14.140499999999999</v>
      </c>
      <c r="H39" s="12">
        <f>H40*D39/D40</f>
        <v>112.65</v>
      </c>
      <c r="I39" s="19">
        <f>I40*D39/D40</f>
        <v>4.0500000000000001E-2</v>
      </c>
      <c r="J39" s="19">
        <f>J40*D39/D40</f>
        <v>25.742999999999999</v>
      </c>
      <c r="K39" s="19">
        <f>K40*D39/D40</f>
        <v>0</v>
      </c>
      <c r="L39" s="19">
        <f>L40*D39/D40</f>
        <v>0</v>
      </c>
      <c r="M39" s="19">
        <f>M40*D39/D40</f>
        <v>83.174999999999997</v>
      </c>
      <c r="N39" s="19">
        <f>N40*D39/D40</f>
        <v>60.21</v>
      </c>
      <c r="O39" s="19">
        <f>O40*D39/D40</f>
        <v>30.975000000000001</v>
      </c>
      <c r="P39" s="19">
        <f>P40*D39/D40</f>
        <v>1.212</v>
      </c>
      <c r="Q39" s="136">
        <v>321</v>
      </c>
      <c r="R39" s="136">
        <v>2011</v>
      </c>
      <c r="S39" s="98"/>
    </row>
    <row r="40" spans="1:19" s="100" customFormat="1" ht="18.95" customHeight="1" x14ac:dyDescent="0.25">
      <c r="A40" s="131"/>
      <c r="B40" s="152"/>
      <c r="C40" s="152"/>
      <c r="D40" s="152">
        <v>1000</v>
      </c>
      <c r="E40" s="152">
        <v>20.65</v>
      </c>
      <c r="F40" s="152">
        <v>32.369999999999997</v>
      </c>
      <c r="G40" s="151">
        <v>94.27</v>
      </c>
      <c r="H40" s="151">
        <v>751</v>
      </c>
      <c r="I40" s="152">
        <v>0.27</v>
      </c>
      <c r="J40" s="152">
        <v>171.62</v>
      </c>
      <c r="K40" s="152">
        <v>0</v>
      </c>
      <c r="L40" s="152"/>
      <c r="M40" s="152">
        <v>554.5</v>
      </c>
      <c r="N40" s="152">
        <v>401.4</v>
      </c>
      <c r="O40" s="152">
        <v>206.5</v>
      </c>
      <c r="P40" s="24">
        <v>8.08</v>
      </c>
      <c r="Q40" s="136"/>
      <c r="R40" s="136"/>
      <c r="S40" s="98"/>
    </row>
  </sheetData>
  <mergeCells count="8">
    <mergeCell ref="A1:S1"/>
    <mergeCell ref="Q2:S2"/>
    <mergeCell ref="A2:A3"/>
    <mergeCell ref="B2:C2"/>
    <mergeCell ref="D2:D3"/>
    <mergeCell ref="E2:H2"/>
    <mergeCell ref="I2:L2"/>
    <mergeCell ref="M2:P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4"/>
  <sheetViews>
    <sheetView workbookViewId="0">
      <selection sqref="A1:B1"/>
    </sheetView>
  </sheetViews>
  <sheetFormatPr defaultRowHeight="12.75" x14ac:dyDescent="0.2"/>
  <cols>
    <col min="1" max="41" width="10.7109375" style="33" customWidth="1"/>
    <col min="42" max="16384" width="9.140625" style="33"/>
  </cols>
  <sheetData>
    <row r="1" spans="1:40" x14ac:dyDescent="0.2">
      <c r="A1" s="454" t="s">
        <v>214</v>
      </c>
      <c r="B1" s="454"/>
      <c r="F1" s="454" t="s">
        <v>215</v>
      </c>
      <c r="G1" s="454"/>
      <c r="H1" s="454"/>
      <c r="I1" s="513" t="s">
        <v>214</v>
      </c>
      <c r="J1" s="513"/>
      <c r="K1" s="250"/>
      <c r="L1" s="250"/>
      <c r="M1" s="250"/>
      <c r="N1" s="513" t="s">
        <v>215</v>
      </c>
      <c r="O1" s="513"/>
      <c r="P1" s="513"/>
      <c r="Q1" s="454" t="s">
        <v>214</v>
      </c>
      <c r="R1" s="454"/>
      <c r="V1" s="454" t="s">
        <v>215</v>
      </c>
      <c r="W1" s="454"/>
      <c r="X1" s="454"/>
      <c r="Y1" s="454" t="s">
        <v>214</v>
      </c>
      <c r="Z1" s="454"/>
      <c r="AD1" s="454" t="s">
        <v>215</v>
      </c>
      <c r="AE1" s="454"/>
      <c r="AF1" s="454"/>
      <c r="AG1" s="454" t="s">
        <v>214</v>
      </c>
      <c r="AH1" s="454"/>
      <c r="AL1" s="454" t="s">
        <v>215</v>
      </c>
      <c r="AM1" s="454"/>
      <c r="AN1" s="454"/>
    </row>
    <row r="2" spans="1:40" x14ac:dyDescent="0.2">
      <c r="E2" s="454" t="s">
        <v>216</v>
      </c>
      <c r="F2" s="454"/>
      <c r="G2" s="454"/>
      <c r="H2" s="454"/>
      <c r="I2" s="250"/>
      <c r="J2" s="250"/>
      <c r="K2" s="250"/>
      <c r="L2" s="250"/>
      <c r="M2" s="513" t="s">
        <v>216</v>
      </c>
      <c r="N2" s="513"/>
      <c r="O2" s="513"/>
      <c r="P2" s="513"/>
      <c r="U2" s="454" t="s">
        <v>216</v>
      </c>
      <c r="V2" s="454"/>
      <c r="W2" s="454"/>
      <c r="X2" s="454"/>
      <c r="AC2" s="454" t="s">
        <v>216</v>
      </c>
      <c r="AD2" s="454"/>
      <c r="AE2" s="454"/>
      <c r="AF2" s="454"/>
      <c r="AK2" s="454" t="s">
        <v>216</v>
      </c>
      <c r="AL2" s="454"/>
      <c r="AM2" s="454"/>
      <c r="AN2" s="454"/>
    </row>
    <row r="3" spans="1:40" x14ac:dyDescent="0.2">
      <c r="E3" s="161"/>
      <c r="F3" s="161"/>
      <c r="G3" s="161"/>
      <c r="H3" s="161"/>
      <c r="I3" s="250"/>
      <c r="J3" s="250"/>
      <c r="K3" s="250"/>
      <c r="L3" s="250"/>
      <c r="M3" s="35"/>
      <c r="N3" s="35"/>
      <c r="O3" s="35"/>
      <c r="P3" s="35"/>
      <c r="U3" s="161"/>
      <c r="V3" s="161"/>
      <c r="W3" s="161"/>
      <c r="X3" s="161"/>
      <c r="AC3" s="161"/>
      <c r="AD3" s="161"/>
      <c r="AE3" s="161"/>
      <c r="AF3" s="161"/>
      <c r="AK3" s="161"/>
      <c r="AL3" s="161"/>
      <c r="AM3" s="161"/>
      <c r="AN3" s="161"/>
    </row>
    <row r="4" spans="1:40" ht="18.95" customHeight="1" x14ac:dyDescent="0.2">
      <c r="A4" s="414" t="s">
        <v>585</v>
      </c>
      <c r="B4" s="414"/>
      <c r="C4" s="414"/>
      <c r="D4" s="414"/>
      <c r="E4" s="414"/>
      <c r="F4" s="414"/>
      <c r="G4" s="414"/>
      <c r="H4" s="414"/>
      <c r="I4" s="514" t="s">
        <v>586</v>
      </c>
      <c r="J4" s="514"/>
      <c r="K4" s="514"/>
      <c r="L4" s="514"/>
      <c r="M4" s="514"/>
      <c r="N4" s="514"/>
      <c r="O4" s="514"/>
      <c r="P4" s="514"/>
      <c r="Q4" s="414" t="s">
        <v>587</v>
      </c>
      <c r="R4" s="414"/>
      <c r="S4" s="414"/>
      <c r="T4" s="414"/>
      <c r="U4" s="414"/>
      <c r="V4" s="414"/>
      <c r="W4" s="414"/>
      <c r="X4" s="414"/>
      <c r="Y4" s="414" t="s">
        <v>588</v>
      </c>
      <c r="Z4" s="414"/>
      <c r="AA4" s="414"/>
      <c r="AB4" s="414"/>
      <c r="AC4" s="414"/>
      <c r="AD4" s="414"/>
      <c r="AE4" s="414"/>
      <c r="AF4" s="414"/>
      <c r="AG4" s="414" t="s">
        <v>589</v>
      </c>
      <c r="AH4" s="414"/>
      <c r="AI4" s="414"/>
      <c r="AJ4" s="414"/>
      <c r="AK4" s="414"/>
      <c r="AL4" s="414"/>
      <c r="AM4" s="414"/>
      <c r="AN4" s="414"/>
    </row>
    <row r="5" spans="1:40" ht="18.95" customHeight="1" x14ac:dyDescent="0.2">
      <c r="A5" s="473" t="s">
        <v>602</v>
      </c>
      <c r="B5" s="465"/>
      <c r="C5" s="465"/>
      <c r="D5" s="465"/>
      <c r="E5" s="465"/>
      <c r="F5" s="465"/>
      <c r="G5" s="465"/>
      <c r="H5" s="465"/>
      <c r="I5" s="517" t="s">
        <v>977</v>
      </c>
      <c r="J5" s="518"/>
      <c r="K5" s="518"/>
      <c r="L5" s="518"/>
      <c r="M5" s="518"/>
      <c r="N5" s="518"/>
      <c r="O5" s="518"/>
      <c r="P5" s="518"/>
      <c r="Q5" s="519" t="s">
        <v>926</v>
      </c>
      <c r="R5" s="520"/>
      <c r="S5" s="520"/>
      <c r="T5" s="520"/>
      <c r="U5" s="520"/>
      <c r="V5" s="520"/>
      <c r="W5" s="520"/>
      <c r="X5" s="520"/>
      <c r="Y5" s="473" t="s">
        <v>604</v>
      </c>
      <c r="Z5" s="465"/>
      <c r="AA5" s="465"/>
      <c r="AB5" s="465"/>
      <c r="AC5" s="465"/>
      <c r="AD5" s="465"/>
      <c r="AE5" s="465"/>
      <c r="AF5" s="465"/>
      <c r="AG5" s="473" t="s">
        <v>606</v>
      </c>
      <c r="AH5" s="465"/>
      <c r="AI5" s="465"/>
      <c r="AJ5" s="465"/>
      <c r="AK5" s="465"/>
      <c r="AL5" s="465"/>
      <c r="AM5" s="465"/>
      <c r="AN5" s="465"/>
    </row>
    <row r="6" spans="1:40" ht="18.95" customHeight="1" x14ac:dyDescent="0.2">
      <c r="A6" s="473" t="s">
        <v>600</v>
      </c>
      <c r="B6" s="473"/>
      <c r="C6" s="473"/>
      <c r="D6" s="473"/>
      <c r="E6" s="473"/>
      <c r="F6" s="473"/>
      <c r="G6" s="473"/>
      <c r="H6" s="473"/>
      <c r="I6" s="515" t="s">
        <v>978</v>
      </c>
      <c r="J6" s="515"/>
      <c r="K6" s="515"/>
      <c r="L6" s="515"/>
      <c r="M6" s="515"/>
      <c r="N6" s="515"/>
      <c r="O6" s="515"/>
      <c r="P6" s="515"/>
      <c r="Q6" s="473" t="s">
        <v>601</v>
      </c>
      <c r="R6" s="473"/>
      <c r="S6" s="473"/>
      <c r="T6" s="473"/>
      <c r="U6" s="473"/>
      <c r="V6" s="473"/>
      <c r="W6" s="473"/>
      <c r="X6" s="473"/>
      <c r="Y6" s="473" t="s">
        <v>603</v>
      </c>
      <c r="Z6" s="473"/>
      <c r="AA6" s="473"/>
      <c r="AB6" s="473"/>
      <c r="AC6" s="473"/>
      <c r="AD6" s="473"/>
      <c r="AE6" s="473"/>
      <c r="AF6" s="473"/>
      <c r="AG6" s="473" t="s">
        <v>605</v>
      </c>
      <c r="AH6" s="473"/>
      <c r="AI6" s="473"/>
      <c r="AJ6" s="473"/>
      <c r="AK6" s="473"/>
      <c r="AL6" s="473"/>
      <c r="AM6" s="473"/>
      <c r="AN6" s="473"/>
    </row>
    <row r="7" spans="1:40" ht="18.95" customHeight="1" x14ac:dyDescent="0.2">
      <c r="A7" s="465" t="s">
        <v>189</v>
      </c>
      <c r="B7" s="465"/>
      <c r="C7" s="465"/>
      <c r="D7" s="465"/>
      <c r="E7" s="465"/>
      <c r="F7" s="465"/>
      <c r="G7" s="465"/>
      <c r="H7" s="465"/>
      <c r="I7" s="516" t="s">
        <v>979</v>
      </c>
      <c r="J7" s="516"/>
      <c r="K7" s="516"/>
      <c r="L7" s="516"/>
      <c r="M7" s="516"/>
      <c r="N7" s="516"/>
      <c r="O7" s="516"/>
      <c r="P7" s="516"/>
      <c r="Q7" s="465" t="s">
        <v>189</v>
      </c>
      <c r="R7" s="465"/>
      <c r="S7" s="465"/>
      <c r="T7" s="465"/>
      <c r="U7" s="465"/>
      <c r="V7" s="465"/>
      <c r="W7" s="465"/>
      <c r="X7" s="465"/>
      <c r="Y7" s="465" t="s">
        <v>189</v>
      </c>
      <c r="Z7" s="465"/>
      <c r="AA7" s="465"/>
      <c r="AB7" s="465"/>
      <c r="AC7" s="465"/>
      <c r="AD7" s="465"/>
      <c r="AE7" s="465"/>
      <c r="AF7" s="465"/>
      <c r="AG7" s="465" t="s">
        <v>189</v>
      </c>
      <c r="AH7" s="465"/>
      <c r="AI7" s="465"/>
      <c r="AJ7" s="465"/>
      <c r="AK7" s="465"/>
      <c r="AL7" s="465"/>
      <c r="AM7" s="465"/>
      <c r="AN7" s="465"/>
    </row>
    <row r="8" spans="1:40" ht="18.95" customHeight="1" x14ac:dyDescent="0.2">
      <c r="A8" s="465" t="s">
        <v>190</v>
      </c>
      <c r="B8" s="465"/>
      <c r="C8" s="465"/>
      <c r="D8" s="465"/>
      <c r="E8" s="465"/>
      <c r="F8" s="465"/>
      <c r="G8" s="465"/>
      <c r="H8" s="465"/>
      <c r="I8" s="516" t="s">
        <v>980</v>
      </c>
      <c r="J8" s="516"/>
      <c r="K8" s="516"/>
      <c r="L8" s="516"/>
      <c r="M8" s="516"/>
      <c r="N8" s="516"/>
      <c r="O8" s="516"/>
      <c r="P8" s="516"/>
      <c r="Q8" s="465" t="s">
        <v>190</v>
      </c>
      <c r="R8" s="465"/>
      <c r="S8" s="465"/>
      <c r="T8" s="465"/>
      <c r="U8" s="465"/>
      <c r="V8" s="465"/>
      <c r="W8" s="465"/>
      <c r="X8" s="465"/>
      <c r="Y8" s="465" t="s">
        <v>190</v>
      </c>
      <c r="Z8" s="465"/>
      <c r="AA8" s="465"/>
      <c r="AB8" s="465"/>
      <c r="AC8" s="465"/>
      <c r="AD8" s="465"/>
      <c r="AE8" s="465"/>
      <c r="AF8" s="465"/>
      <c r="AG8" s="465" t="s">
        <v>190</v>
      </c>
      <c r="AH8" s="465"/>
      <c r="AI8" s="465"/>
      <c r="AJ8" s="465"/>
      <c r="AK8" s="465"/>
      <c r="AL8" s="465"/>
      <c r="AM8" s="465"/>
      <c r="AN8" s="465"/>
    </row>
    <row r="9" spans="1:40" ht="18.95" customHeight="1" x14ac:dyDescent="0.2">
      <c r="C9" s="159"/>
      <c r="I9" s="250"/>
      <c r="J9" s="250"/>
      <c r="K9" s="251"/>
      <c r="L9" s="250"/>
      <c r="M9" s="250"/>
      <c r="N9" s="250"/>
      <c r="O9" s="250"/>
      <c r="P9" s="250"/>
      <c r="S9" s="159"/>
      <c r="AA9" s="159"/>
      <c r="AI9" s="159"/>
    </row>
    <row r="10" spans="1:40" ht="18.95" customHeight="1" x14ac:dyDescent="0.2">
      <c r="B10" s="466" t="s">
        <v>174</v>
      </c>
      <c r="C10" s="467"/>
      <c r="D10" s="412" t="s">
        <v>179</v>
      </c>
      <c r="E10" s="412"/>
      <c r="F10" s="412"/>
      <c r="G10" s="412"/>
      <c r="I10" s="250"/>
      <c r="J10" s="521" t="s">
        <v>174</v>
      </c>
      <c r="K10" s="522"/>
      <c r="L10" s="527" t="s">
        <v>179</v>
      </c>
      <c r="M10" s="527"/>
      <c r="N10" s="527"/>
      <c r="O10" s="527"/>
      <c r="P10" s="250"/>
      <c r="R10" s="466" t="s">
        <v>174</v>
      </c>
      <c r="S10" s="467"/>
      <c r="T10" s="412" t="s">
        <v>179</v>
      </c>
      <c r="U10" s="412"/>
      <c r="V10" s="412"/>
      <c r="W10" s="412"/>
      <c r="Z10" s="466" t="s">
        <v>174</v>
      </c>
      <c r="AA10" s="467"/>
      <c r="AB10" s="412" t="s">
        <v>179</v>
      </c>
      <c r="AC10" s="412"/>
      <c r="AD10" s="412"/>
      <c r="AE10" s="412"/>
      <c r="AH10" s="466" t="s">
        <v>174</v>
      </c>
      <c r="AI10" s="467"/>
      <c r="AJ10" s="412" t="s">
        <v>179</v>
      </c>
      <c r="AK10" s="412"/>
      <c r="AL10" s="412"/>
      <c r="AM10" s="412"/>
    </row>
    <row r="11" spans="1:40" ht="18.95" customHeight="1" x14ac:dyDescent="0.2">
      <c r="B11" s="468"/>
      <c r="C11" s="469"/>
      <c r="D11" s="412" t="s">
        <v>177</v>
      </c>
      <c r="E11" s="412"/>
      <c r="F11" s="412" t="s">
        <v>178</v>
      </c>
      <c r="G11" s="412"/>
      <c r="I11" s="250"/>
      <c r="J11" s="523"/>
      <c r="K11" s="524"/>
      <c r="L11" s="527" t="s">
        <v>177</v>
      </c>
      <c r="M11" s="527"/>
      <c r="N11" s="527" t="s">
        <v>178</v>
      </c>
      <c r="O11" s="527"/>
      <c r="P11" s="250"/>
      <c r="R11" s="468"/>
      <c r="S11" s="469"/>
      <c r="T11" s="412" t="s">
        <v>177</v>
      </c>
      <c r="U11" s="412"/>
      <c r="V11" s="412" t="s">
        <v>178</v>
      </c>
      <c r="W11" s="412"/>
      <c r="Z11" s="468"/>
      <c r="AA11" s="469"/>
      <c r="AB11" s="412" t="s">
        <v>177</v>
      </c>
      <c r="AC11" s="412"/>
      <c r="AD11" s="412" t="s">
        <v>178</v>
      </c>
      <c r="AE11" s="412"/>
      <c r="AH11" s="468"/>
      <c r="AI11" s="469"/>
      <c r="AJ11" s="412" t="s">
        <v>177</v>
      </c>
      <c r="AK11" s="412"/>
      <c r="AL11" s="412" t="s">
        <v>178</v>
      </c>
      <c r="AM11" s="412"/>
    </row>
    <row r="12" spans="1:40" ht="18.95" customHeight="1" x14ac:dyDescent="0.2">
      <c r="B12" s="470"/>
      <c r="C12" s="471"/>
      <c r="D12" s="158" t="s">
        <v>175</v>
      </c>
      <c r="E12" s="158" t="s">
        <v>176</v>
      </c>
      <c r="F12" s="158" t="s">
        <v>175</v>
      </c>
      <c r="G12" s="158" t="s">
        <v>176</v>
      </c>
      <c r="I12" s="250"/>
      <c r="J12" s="525"/>
      <c r="K12" s="526"/>
      <c r="L12" s="55" t="s">
        <v>175</v>
      </c>
      <c r="M12" s="55" t="s">
        <v>176</v>
      </c>
      <c r="N12" s="55" t="s">
        <v>175</v>
      </c>
      <c r="O12" s="55" t="s">
        <v>176</v>
      </c>
      <c r="P12" s="250"/>
      <c r="R12" s="470"/>
      <c r="S12" s="471"/>
      <c r="T12" s="158" t="s">
        <v>175</v>
      </c>
      <c r="U12" s="158" t="s">
        <v>176</v>
      </c>
      <c r="V12" s="158" t="s">
        <v>175</v>
      </c>
      <c r="W12" s="158" t="s">
        <v>176</v>
      </c>
      <c r="Z12" s="470"/>
      <c r="AA12" s="471"/>
      <c r="AB12" s="158" t="s">
        <v>175</v>
      </c>
      <c r="AC12" s="158" t="s">
        <v>176</v>
      </c>
      <c r="AD12" s="158" t="s">
        <v>175</v>
      </c>
      <c r="AE12" s="158" t="s">
        <v>176</v>
      </c>
      <c r="AH12" s="470"/>
      <c r="AI12" s="471"/>
      <c r="AJ12" s="158" t="s">
        <v>175</v>
      </c>
      <c r="AK12" s="158" t="s">
        <v>176</v>
      </c>
      <c r="AL12" s="158" t="s">
        <v>175</v>
      </c>
      <c r="AM12" s="158" t="s">
        <v>176</v>
      </c>
    </row>
    <row r="13" spans="1:40" ht="18.95" customHeight="1" x14ac:dyDescent="0.2">
      <c r="B13" s="455" t="s">
        <v>682</v>
      </c>
      <c r="C13" s="456"/>
      <c r="D13" s="207">
        <f>71</f>
        <v>71</v>
      </c>
      <c r="E13" s="207">
        <f>71</f>
        <v>71</v>
      </c>
      <c r="F13" s="207">
        <f>D13*100</f>
        <v>7100</v>
      </c>
      <c r="G13" s="207">
        <f>E13*100</f>
        <v>7100</v>
      </c>
      <c r="I13" s="250"/>
      <c r="J13" s="492" t="s">
        <v>682</v>
      </c>
      <c r="K13" s="493"/>
      <c r="L13" s="110">
        <f>50*M20/220</f>
        <v>45.454545454545453</v>
      </c>
      <c r="M13" s="110">
        <f>50*M20/220</f>
        <v>45.454545454545453</v>
      </c>
      <c r="N13" s="110">
        <f>L13*100</f>
        <v>4545.454545454545</v>
      </c>
      <c r="O13" s="110">
        <f>M13*100</f>
        <v>4545.454545454545</v>
      </c>
      <c r="P13" s="250"/>
      <c r="R13" s="455" t="s">
        <v>472</v>
      </c>
      <c r="S13" s="456"/>
      <c r="T13" s="41">
        <f>44*U20/210</f>
        <v>41.904761904761905</v>
      </c>
      <c r="U13" s="41">
        <f>44*U20/210</f>
        <v>41.904761904761905</v>
      </c>
      <c r="V13" s="41">
        <f>T13*100</f>
        <v>4190.4761904761908</v>
      </c>
      <c r="W13" s="41">
        <f>U13*100</f>
        <v>4190.4761904761908</v>
      </c>
      <c r="Z13" s="455" t="s">
        <v>472</v>
      </c>
      <c r="AA13" s="456"/>
      <c r="AB13" s="41">
        <f>14*AC21/210</f>
        <v>13.333333333333334</v>
      </c>
      <c r="AC13" s="41">
        <f>14*AC21/210</f>
        <v>13.333333333333334</v>
      </c>
      <c r="AD13" s="41">
        <f>AB13*100</f>
        <v>1333.3333333333335</v>
      </c>
      <c r="AE13" s="41">
        <f>AC13*100</f>
        <v>1333.3333333333335</v>
      </c>
      <c r="AH13" s="455" t="s">
        <v>650</v>
      </c>
      <c r="AI13" s="456"/>
      <c r="AJ13" s="41">
        <v>29.45</v>
      </c>
      <c r="AK13" s="41">
        <v>2945</v>
      </c>
      <c r="AL13" s="41">
        <f>AJ13*100</f>
        <v>2945</v>
      </c>
      <c r="AM13" s="41">
        <f>AK13*100</f>
        <v>294500</v>
      </c>
    </row>
    <row r="14" spans="1:40" ht="18.95" customHeight="1" x14ac:dyDescent="0.2">
      <c r="B14" s="455" t="s">
        <v>565</v>
      </c>
      <c r="C14" s="456"/>
      <c r="D14" s="207">
        <f>60</f>
        <v>60</v>
      </c>
      <c r="E14" s="207">
        <f>60</f>
        <v>60</v>
      </c>
      <c r="F14" s="207">
        <f>D14*100</f>
        <v>6000</v>
      </c>
      <c r="G14" s="207">
        <f>E14*100</f>
        <v>6000</v>
      </c>
      <c r="I14" s="250"/>
      <c r="J14" s="492" t="s">
        <v>583</v>
      </c>
      <c r="K14" s="493"/>
      <c r="L14" s="110">
        <f>100*M20/220</f>
        <v>90.909090909090907</v>
      </c>
      <c r="M14" s="110">
        <f>100*M20/220</f>
        <v>90.909090909090907</v>
      </c>
      <c r="N14" s="110">
        <f t="shared" ref="N14:N19" si="0">L14*100</f>
        <v>9090.9090909090901</v>
      </c>
      <c r="O14" s="110">
        <f t="shared" ref="O14:O20" si="1">M14*100</f>
        <v>9090.9090909090901</v>
      </c>
      <c r="P14" s="250"/>
      <c r="R14" s="492" t="s">
        <v>971</v>
      </c>
      <c r="S14" s="493"/>
      <c r="T14" s="110">
        <f>9*U20/210</f>
        <v>8.5714285714285712</v>
      </c>
      <c r="U14" s="110">
        <f>9*U20/210</f>
        <v>8.5714285714285712</v>
      </c>
      <c r="V14" s="110">
        <f>T14*100</f>
        <v>857.14285714285711</v>
      </c>
      <c r="W14" s="110">
        <f t="shared" ref="W14:W20" si="2">U14*100</f>
        <v>857.14285714285711</v>
      </c>
      <c r="Z14" s="455" t="s">
        <v>679</v>
      </c>
      <c r="AA14" s="456"/>
      <c r="AB14" s="41">
        <f>19*AC21/210</f>
        <v>18.095238095238095</v>
      </c>
      <c r="AC14" s="41">
        <f>19*AC21/210</f>
        <v>18.095238095238095</v>
      </c>
      <c r="AD14" s="41">
        <f t="shared" ref="AD14:AD20" si="3">AB14*100</f>
        <v>1809.5238095238094</v>
      </c>
      <c r="AE14" s="41">
        <f t="shared" ref="AE14:AE21" si="4">AC14*100</f>
        <v>1809.5238095238094</v>
      </c>
      <c r="AH14" s="455" t="s">
        <v>971</v>
      </c>
      <c r="AI14" s="456"/>
      <c r="AJ14" s="41">
        <v>5.7</v>
      </c>
      <c r="AK14" s="41">
        <v>5.7</v>
      </c>
      <c r="AL14" s="41">
        <f t="shared" ref="AL14:AL19" si="5">AJ14*100</f>
        <v>570</v>
      </c>
      <c r="AM14" s="41">
        <f t="shared" ref="AM14:AM20" si="6">AK14*100</f>
        <v>570</v>
      </c>
    </row>
    <row r="15" spans="1:40" ht="18.95" customHeight="1" x14ac:dyDescent="0.2">
      <c r="B15" s="455" t="s">
        <v>476</v>
      </c>
      <c r="C15" s="456"/>
      <c r="D15" s="207"/>
      <c r="E15" s="207">
        <v>3.15</v>
      </c>
      <c r="F15" s="207"/>
      <c r="G15" s="207">
        <f>E15*100</f>
        <v>315</v>
      </c>
      <c r="I15" s="250"/>
      <c r="J15" s="492" t="s">
        <v>484</v>
      </c>
      <c r="K15" s="493"/>
      <c r="L15" s="110">
        <f>60*M20/220</f>
        <v>54.545454545454547</v>
      </c>
      <c r="M15" s="110">
        <f>60*M20/220</f>
        <v>54.545454545454547</v>
      </c>
      <c r="N15" s="110">
        <f t="shared" si="0"/>
        <v>5454.545454545455</v>
      </c>
      <c r="O15" s="110">
        <f t="shared" si="1"/>
        <v>5454.545454545455</v>
      </c>
      <c r="P15" s="250"/>
      <c r="R15" s="455" t="s">
        <v>484</v>
      </c>
      <c r="S15" s="456"/>
      <c r="T15" s="41">
        <f>65*U20/210</f>
        <v>61.904761904761905</v>
      </c>
      <c r="U15" s="41">
        <f>65*U20/210</f>
        <v>61.904761904761905</v>
      </c>
      <c r="V15" s="41">
        <f>T15*100</f>
        <v>6190.4761904761908</v>
      </c>
      <c r="W15" s="41">
        <f t="shared" si="2"/>
        <v>6190.4761904761908</v>
      </c>
      <c r="Z15" s="455" t="s">
        <v>583</v>
      </c>
      <c r="AA15" s="456"/>
      <c r="AB15" s="41">
        <f>100*AC21/210</f>
        <v>95.238095238095241</v>
      </c>
      <c r="AC15" s="41">
        <f>100*AC21/210</f>
        <v>95.238095238095241</v>
      </c>
      <c r="AD15" s="41">
        <f t="shared" si="3"/>
        <v>9523.8095238095248</v>
      </c>
      <c r="AE15" s="41">
        <f t="shared" si="4"/>
        <v>9523.8095238095248</v>
      </c>
      <c r="AH15" s="455" t="s">
        <v>484</v>
      </c>
      <c r="AI15" s="456"/>
      <c r="AJ15" s="41">
        <f>75*AK20/220</f>
        <v>68.181818181818187</v>
      </c>
      <c r="AK15" s="41">
        <f>75*AK20/220</f>
        <v>68.181818181818187</v>
      </c>
      <c r="AL15" s="41">
        <f t="shared" si="5"/>
        <v>6818.1818181818189</v>
      </c>
      <c r="AM15" s="41">
        <f t="shared" si="6"/>
        <v>6818.1818181818189</v>
      </c>
    </row>
    <row r="16" spans="1:40" ht="18.95" customHeight="1" x14ac:dyDescent="0.2">
      <c r="B16" s="455" t="s">
        <v>191</v>
      </c>
      <c r="C16" s="456"/>
      <c r="D16" s="207">
        <f>10</f>
        <v>10</v>
      </c>
      <c r="E16" s="207">
        <v>10</v>
      </c>
      <c r="F16" s="207">
        <f>D16*100</f>
        <v>1000</v>
      </c>
      <c r="G16" s="207">
        <f>E16*100</f>
        <v>1000</v>
      </c>
      <c r="I16" s="250"/>
      <c r="J16" s="492" t="s">
        <v>297</v>
      </c>
      <c r="K16" s="493"/>
      <c r="L16" s="110">
        <f>6*M20/220</f>
        <v>5.4545454545454541</v>
      </c>
      <c r="M16" s="110">
        <f>6*M20/220</f>
        <v>5.4545454545454541</v>
      </c>
      <c r="N16" s="110">
        <f t="shared" si="0"/>
        <v>545.45454545454538</v>
      </c>
      <c r="O16" s="110">
        <f t="shared" si="1"/>
        <v>545.45454545454538</v>
      </c>
      <c r="P16" s="250"/>
      <c r="R16" s="455" t="s">
        <v>297</v>
      </c>
      <c r="S16" s="456"/>
      <c r="T16" s="41">
        <f>6*U20/210</f>
        <v>5.7142857142857144</v>
      </c>
      <c r="U16" s="41">
        <f>6*U20/210</f>
        <v>5.7142857142857144</v>
      </c>
      <c r="V16" s="41">
        <f>T16*100</f>
        <v>571.42857142857144</v>
      </c>
      <c r="W16" s="41">
        <f t="shared" si="2"/>
        <v>571.42857142857144</v>
      </c>
      <c r="Z16" s="455" t="s">
        <v>484</v>
      </c>
      <c r="AA16" s="456"/>
      <c r="AB16" s="41">
        <f>65*AC21/210</f>
        <v>61.904761904761905</v>
      </c>
      <c r="AC16" s="41">
        <f>65*AC21/210</f>
        <v>61.904761904761905</v>
      </c>
      <c r="AD16" s="41">
        <f t="shared" si="3"/>
        <v>6190.4761904761908</v>
      </c>
      <c r="AE16" s="41">
        <f t="shared" si="4"/>
        <v>6190.4761904761908</v>
      </c>
      <c r="AH16" s="455" t="s">
        <v>297</v>
      </c>
      <c r="AI16" s="456"/>
      <c r="AJ16" s="41">
        <v>5.7</v>
      </c>
      <c r="AK16" s="41">
        <v>5.7</v>
      </c>
      <c r="AL16" s="41">
        <f t="shared" si="5"/>
        <v>570</v>
      </c>
      <c r="AM16" s="41">
        <f t="shared" si="6"/>
        <v>570</v>
      </c>
    </row>
    <row r="17" spans="1:40" ht="18.95" customHeight="1" x14ac:dyDescent="0.2">
      <c r="B17" s="457" t="s">
        <v>180</v>
      </c>
      <c r="C17" s="458"/>
      <c r="D17" s="207"/>
      <c r="E17" s="207">
        <f>каши!B5</f>
        <v>150</v>
      </c>
      <c r="F17" s="207"/>
      <c r="G17" s="207">
        <f>E17*100</f>
        <v>15000</v>
      </c>
      <c r="I17" s="250"/>
      <c r="J17" s="492" t="s">
        <v>677</v>
      </c>
      <c r="K17" s="493"/>
      <c r="L17" s="110"/>
      <c r="M17" s="110">
        <f>200*M20/220</f>
        <v>181.81818181818181</v>
      </c>
      <c r="N17" s="110"/>
      <c r="O17" s="110">
        <f t="shared" si="1"/>
        <v>18181.81818181818</v>
      </c>
      <c r="P17" s="250"/>
      <c r="R17" s="455" t="s">
        <v>677</v>
      </c>
      <c r="S17" s="456"/>
      <c r="T17" s="41"/>
      <c r="U17" s="41">
        <f>200*U20/210</f>
        <v>190.47619047619048</v>
      </c>
      <c r="V17" s="41"/>
      <c r="W17" s="41">
        <f t="shared" si="2"/>
        <v>19047.61904761905</v>
      </c>
      <c r="Z17" s="455" t="s">
        <v>297</v>
      </c>
      <c r="AA17" s="456"/>
      <c r="AB17" s="41">
        <f>6*AC21/210</f>
        <v>5.7142857142857144</v>
      </c>
      <c r="AC17" s="41">
        <f>6*AC21/210</f>
        <v>5.7142857142857144</v>
      </c>
      <c r="AD17" s="41">
        <f t="shared" si="3"/>
        <v>571.42857142857144</v>
      </c>
      <c r="AE17" s="41">
        <f t="shared" si="4"/>
        <v>571.42857142857144</v>
      </c>
      <c r="AH17" s="455" t="s">
        <v>677</v>
      </c>
      <c r="AI17" s="456"/>
      <c r="AJ17" s="41"/>
      <c r="AK17" s="41">
        <v>190</v>
      </c>
      <c r="AL17" s="41"/>
      <c r="AM17" s="41">
        <v>190</v>
      </c>
    </row>
    <row r="18" spans="1:40" ht="18.95" customHeight="1" x14ac:dyDescent="0.2">
      <c r="I18" s="250"/>
      <c r="J18" s="492" t="s">
        <v>191</v>
      </c>
      <c r="K18" s="493"/>
      <c r="L18" s="110">
        <f>10*M20/220</f>
        <v>9.0909090909090917</v>
      </c>
      <c r="M18" s="110">
        <f>10*M20/220</f>
        <v>9.0909090909090917</v>
      </c>
      <c r="N18" s="110">
        <f>L18*100</f>
        <v>909.09090909090912</v>
      </c>
      <c r="O18" s="110">
        <f t="shared" si="1"/>
        <v>909.09090909090912</v>
      </c>
      <c r="P18" s="250"/>
      <c r="R18" s="455" t="s">
        <v>191</v>
      </c>
      <c r="S18" s="456"/>
      <c r="T18" s="41">
        <f>10*U20/210</f>
        <v>9.5238095238095237</v>
      </c>
      <c r="U18" s="41">
        <f>10*U20/210</f>
        <v>9.5238095238095237</v>
      </c>
      <c r="V18" s="41">
        <f>T18*100</f>
        <v>952.38095238095241</v>
      </c>
      <c r="W18" s="41">
        <f t="shared" si="2"/>
        <v>952.38095238095241</v>
      </c>
      <c r="Z18" s="455" t="s">
        <v>677</v>
      </c>
      <c r="AA18" s="456"/>
      <c r="AB18" s="41"/>
      <c r="AC18" s="41">
        <f>200*AC21/210</f>
        <v>190.47619047619048</v>
      </c>
      <c r="AD18" s="41"/>
      <c r="AE18" s="41">
        <f t="shared" si="4"/>
        <v>19047.61904761905</v>
      </c>
      <c r="AH18" s="455" t="s">
        <v>191</v>
      </c>
      <c r="AI18" s="456"/>
      <c r="AJ18" s="41">
        <v>10</v>
      </c>
      <c r="AK18" s="41">
        <v>10</v>
      </c>
      <c r="AL18" s="41">
        <f t="shared" si="5"/>
        <v>1000</v>
      </c>
      <c r="AM18" s="41">
        <f t="shared" si="6"/>
        <v>1000</v>
      </c>
    </row>
    <row r="19" spans="1:40" ht="20.100000000000001" customHeight="1" x14ac:dyDescent="0.2">
      <c r="A19" s="459" t="s">
        <v>683</v>
      </c>
      <c r="B19" s="459"/>
      <c r="C19" s="459"/>
      <c r="D19" s="459"/>
      <c r="E19" s="459"/>
      <c r="F19" s="459"/>
      <c r="G19" s="459"/>
      <c r="H19" s="459"/>
      <c r="I19" s="250"/>
      <c r="J19" s="492" t="s">
        <v>297</v>
      </c>
      <c r="K19" s="493"/>
      <c r="L19" s="110">
        <f>10*M20/220</f>
        <v>9.0909090909090917</v>
      </c>
      <c r="M19" s="110">
        <f>10*M20/220</f>
        <v>9.0909090909090917</v>
      </c>
      <c r="N19" s="110">
        <f t="shared" si="0"/>
        <v>909.09090909090912</v>
      </c>
      <c r="O19" s="110">
        <f t="shared" si="1"/>
        <v>909.09090909090912</v>
      </c>
      <c r="P19" s="250"/>
      <c r="R19" s="492" t="s">
        <v>476</v>
      </c>
      <c r="S19" s="493"/>
      <c r="T19" s="110">
        <v>1.88</v>
      </c>
      <c r="U19" s="110">
        <v>1.88</v>
      </c>
      <c r="V19" s="110">
        <f>T19*100</f>
        <v>188</v>
      </c>
      <c r="W19" s="110">
        <f>U19*100</f>
        <v>188</v>
      </c>
      <c r="Z19" s="455" t="s">
        <v>191</v>
      </c>
      <c r="AA19" s="456"/>
      <c r="AB19" s="41">
        <v>10</v>
      </c>
      <c r="AC19" s="41">
        <v>10</v>
      </c>
      <c r="AD19" s="41">
        <f t="shared" si="3"/>
        <v>1000</v>
      </c>
      <c r="AE19" s="41">
        <f t="shared" si="4"/>
        <v>1000</v>
      </c>
      <c r="AH19" s="455" t="s">
        <v>476</v>
      </c>
      <c r="AI19" s="456"/>
      <c r="AJ19" s="41">
        <v>2</v>
      </c>
      <c r="AK19" s="41">
        <v>2</v>
      </c>
      <c r="AL19" s="41">
        <f t="shared" si="5"/>
        <v>200</v>
      </c>
      <c r="AM19" s="41">
        <f t="shared" si="6"/>
        <v>200</v>
      </c>
    </row>
    <row r="20" spans="1:40" ht="18.95" customHeight="1" x14ac:dyDescent="0.2">
      <c r="A20" s="158" t="s">
        <v>182</v>
      </c>
      <c r="B20" s="158" t="s">
        <v>106</v>
      </c>
      <c r="C20" s="115" t="s">
        <v>107</v>
      </c>
      <c r="D20" s="116" t="s">
        <v>187</v>
      </c>
      <c r="E20" s="158" t="s">
        <v>183</v>
      </c>
      <c r="F20" s="158" t="s">
        <v>184</v>
      </c>
      <c r="G20" s="158" t="s">
        <v>185</v>
      </c>
      <c r="H20" s="158" t="s">
        <v>186</v>
      </c>
      <c r="I20" s="250"/>
      <c r="J20" s="528" t="s">
        <v>180</v>
      </c>
      <c r="K20" s="529"/>
      <c r="L20" s="110"/>
      <c r="M20" s="252">
        <f>каши!B9</f>
        <v>200</v>
      </c>
      <c r="N20" s="252"/>
      <c r="O20" s="252">
        <f t="shared" si="1"/>
        <v>20000</v>
      </c>
      <c r="P20" s="250"/>
      <c r="R20" s="457" t="s">
        <v>180</v>
      </c>
      <c r="S20" s="458"/>
      <c r="T20" s="41"/>
      <c r="U20" s="207">
        <f>каши!B11</f>
        <v>200</v>
      </c>
      <c r="V20" s="41"/>
      <c r="W20" s="207">
        <f t="shared" si="2"/>
        <v>20000</v>
      </c>
      <c r="Z20" s="455" t="s">
        <v>476</v>
      </c>
      <c r="AA20" s="456"/>
      <c r="AB20" s="41">
        <v>0.6</v>
      </c>
      <c r="AC20" s="41">
        <v>0.6</v>
      </c>
      <c r="AD20" s="41">
        <f t="shared" si="3"/>
        <v>60</v>
      </c>
      <c r="AE20" s="41">
        <f t="shared" si="4"/>
        <v>60</v>
      </c>
      <c r="AH20" s="457" t="s">
        <v>180</v>
      </c>
      <c r="AI20" s="458"/>
      <c r="AJ20" s="41"/>
      <c r="AK20" s="207">
        <v>200</v>
      </c>
      <c r="AL20" s="41"/>
      <c r="AM20" s="207">
        <f t="shared" si="6"/>
        <v>20000</v>
      </c>
    </row>
    <row r="21" spans="1:40" ht="18.95" customHeight="1" x14ac:dyDescent="0.2">
      <c r="A21" s="41">
        <f>каши!E7</f>
        <v>8.296875</v>
      </c>
      <c r="B21" s="41">
        <f>каши!F7</f>
        <v>8.953125</v>
      </c>
      <c r="C21" s="41">
        <f>каши!G7</f>
        <v>37.368749999999999</v>
      </c>
      <c r="D21" s="41">
        <f>каши!H7</f>
        <v>262.5</v>
      </c>
      <c r="E21" s="41">
        <f>каши!M7</f>
        <v>24.740625000000001</v>
      </c>
      <c r="F21" s="41">
        <f>каши!O7</f>
        <v>131.73750000000001</v>
      </c>
      <c r="G21" s="41">
        <f>каши!P7</f>
        <v>4.4343750000000011</v>
      </c>
      <c r="H21" s="41">
        <f>каши!J7</f>
        <v>0</v>
      </c>
      <c r="I21" s="250"/>
      <c r="J21" s="250"/>
      <c r="K21" s="250"/>
      <c r="L21" s="250"/>
      <c r="M21" s="250"/>
      <c r="N21" s="250"/>
      <c r="O21" s="250"/>
      <c r="P21" s="250"/>
      <c r="Z21" s="457" t="s">
        <v>180</v>
      </c>
      <c r="AA21" s="458"/>
      <c r="AB21" s="41"/>
      <c r="AC21" s="207">
        <f>каши!B13</f>
        <v>200</v>
      </c>
      <c r="AD21" s="41"/>
      <c r="AE21" s="207">
        <f t="shared" si="4"/>
        <v>20000</v>
      </c>
    </row>
    <row r="22" spans="1:40" ht="18.95" customHeight="1" x14ac:dyDescent="0.2">
      <c r="H22" s="201"/>
      <c r="I22" s="530" t="s">
        <v>181</v>
      </c>
      <c r="J22" s="530"/>
      <c r="K22" s="530"/>
      <c r="L22" s="530"/>
      <c r="M22" s="530"/>
      <c r="N22" s="530"/>
      <c r="O22" s="530"/>
      <c r="P22" s="530"/>
      <c r="Q22" s="459" t="s">
        <v>181</v>
      </c>
      <c r="R22" s="459"/>
      <c r="S22" s="459"/>
      <c r="T22" s="459"/>
      <c r="U22" s="459"/>
      <c r="V22" s="459"/>
      <c r="W22" s="459"/>
      <c r="X22" s="459"/>
      <c r="AG22" s="459" t="s">
        <v>181</v>
      </c>
      <c r="AH22" s="459"/>
      <c r="AI22" s="459"/>
      <c r="AJ22" s="459"/>
      <c r="AK22" s="459"/>
      <c r="AL22" s="459"/>
      <c r="AM22" s="459"/>
      <c r="AN22" s="459"/>
    </row>
    <row r="23" spans="1:40" ht="18.95" customHeight="1" x14ac:dyDescent="0.2">
      <c r="A23" s="459" t="s">
        <v>684</v>
      </c>
      <c r="B23" s="459"/>
      <c r="C23" s="459"/>
      <c r="D23" s="459"/>
      <c r="E23" s="459"/>
      <c r="F23" s="459"/>
      <c r="G23" s="459"/>
      <c r="H23" s="459"/>
      <c r="I23" s="55" t="s">
        <v>182</v>
      </c>
      <c r="J23" s="55" t="s">
        <v>106</v>
      </c>
      <c r="K23" s="253" t="s">
        <v>107</v>
      </c>
      <c r="L23" s="254" t="s">
        <v>187</v>
      </c>
      <c r="M23" s="55" t="s">
        <v>183</v>
      </c>
      <c r="N23" s="55" t="s">
        <v>184</v>
      </c>
      <c r="O23" s="55" t="s">
        <v>185</v>
      </c>
      <c r="P23" s="55" t="s">
        <v>186</v>
      </c>
      <c r="Q23" s="158" t="s">
        <v>182</v>
      </c>
      <c r="R23" s="158" t="s">
        <v>106</v>
      </c>
      <c r="S23" s="115" t="s">
        <v>107</v>
      </c>
      <c r="T23" s="116" t="s">
        <v>187</v>
      </c>
      <c r="U23" s="158" t="s">
        <v>183</v>
      </c>
      <c r="V23" s="158" t="s">
        <v>184</v>
      </c>
      <c r="W23" s="158" t="s">
        <v>185</v>
      </c>
      <c r="X23" s="158" t="s">
        <v>186</v>
      </c>
      <c r="Y23" s="459" t="s">
        <v>181</v>
      </c>
      <c r="Z23" s="459"/>
      <c r="AA23" s="459"/>
      <c r="AB23" s="459"/>
      <c r="AC23" s="459"/>
      <c r="AD23" s="459"/>
      <c r="AE23" s="459"/>
      <c r="AF23" s="459"/>
      <c r="AG23" s="158" t="s">
        <v>182</v>
      </c>
      <c r="AH23" s="158" t="s">
        <v>106</v>
      </c>
      <c r="AI23" s="115" t="s">
        <v>107</v>
      </c>
      <c r="AJ23" s="116" t="s">
        <v>187</v>
      </c>
      <c r="AK23" s="158" t="s">
        <v>183</v>
      </c>
      <c r="AL23" s="158" t="s">
        <v>184</v>
      </c>
      <c r="AM23" s="158" t="s">
        <v>185</v>
      </c>
      <c r="AN23" s="158" t="s">
        <v>186</v>
      </c>
    </row>
    <row r="24" spans="1:40" ht="18.95" customHeight="1" x14ac:dyDescent="0.2">
      <c r="A24" s="158" t="s">
        <v>182</v>
      </c>
      <c r="B24" s="158" t="s">
        <v>106</v>
      </c>
      <c r="C24" s="115" t="s">
        <v>107</v>
      </c>
      <c r="D24" s="116" t="s">
        <v>187</v>
      </c>
      <c r="E24" s="158" t="s">
        <v>183</v>
      </c>
      <c r="F24" s="158" t="s">
        <v>184</v>
      </c>
      <c r="G24" s="158" t="s">
        <v>185</v>
      </c>
      <c r="H24" s="158" t="s">
        <v>186</v>
      </c>
      <c r="I24" s="110">
        <f>каши!E9</f>
        <v>7.8545454545454545</v>
      </c>
      <c r="J24" s="110">
        <f>каши!F9</f>
        <v>10.054545454545455</v>
      </c>
      <c r="K24" s="110">
        <f>каши!G9</f>
        <v>49.363636363636367</v>
      </c>
      <c r="L24" s="110">
        <f>каши!H9</f>
        <v>320</v>
      </c>
      <c r="M24" s="110">
        <f>каши!M9</f>
        <v>133.69999999999999</v>
      </c>
      <c r="N24" s="110">
        <f>каши!O9</f>
        <v>40.299999999999997</v>
      </c>
      <c r="O24" s="110">
        <f>каши!P9</f>
        <v>2.1545454545454548</v>
      </c>
      <c r="P24" s="110">
        <f>каши!J9</f>
        <v>0.87272727272727268</v>
      </c>
      <c r="Q24" s="41">
        <f>каши!E11</f>
        <v>5.4545454545454541</v>
      </c>
      <c r="R24" s="41">
        <f>каши!F11</f>
        <v>9.8636363636363633</v>
      </c>
      <c r="S24" s="41">
        <f>каши!G11</f>
        <v>48.118181818181817</v>
      </c>
      <c r="T24" s="41">
        <f>каши!H11</f>
        <v>303.63636363636363</v>
      </c>
      <c r="U24" s="41">
        <f>каши!M11</f>
        <v>119.06363636363636</v>
      </c>
      <c r="V24" s="41">
        <f>каши!O11</f>
        <v>33.145454545454548</v>
      </c>
      <c r="W24" s="41">
        <f>каши!P11</f>
        <v>0.57272727272727275</v>
      </c>
      <c r="X24" s="41">
        <f>каши!J11</f>
        <v>0.87272727272727268</v>
      </c>
      <c r="Y24" s="158" t="s">
        <v>182</v>
      </c>
      <c r="Z24" s="158" t="s">
        <v>106</v>
      </c>
      <c r="AA24" s="115" t="s">
        <v>107</v>
      </c>
      <c r="AB24" s="116" t="s">
        <v>187</v>
      </c>
      <c r="AC24" s="158" t="s">
        <v>183</v>
      </c>
      <c r="AD24" s="158" t="s">
        <v>184</v>
      </c>
      <c r="AE24" s="158" t="s">
        <v>185</v>
      </c>
      <c r="AF24" s="158" t="s">
        <v>186</v>
      </c>
      <c r="AG24" s="41">
        <f>каши!E15</f>
        <v>5.5545454545454547</v>
      </c>
      <c r="AH24" s="41">
        <f>каши!F15</f>
        <v>9.745454545454546</v>
      </c>
      <c r="AI24" s="41">
        <f>каши!G15</f>
        <v>38.509090909090908</v>
      </c>
      <c r="AJ24" s="41">
        <f>каши!H15</f>
        <v>264.54545454545456</v>
      </c>
      <c r="AK24" s="41">
        <f>каши!M17</f>
        <v>124.9</v>
      </c>
      <c r="AL24" s="41">
        <f>каши!O17</f>
        <v>31.637499999999999</v>
      </c>
      <c r="AM24" s="41">
        <f>каши!P17</f>
        <v>0.76249999999999996</v>
      </c>
      <c r="AN24" s="41">
        <f>каши!J17</f>
        <v>0.3</v>
      </c>
    </row>
    <row r="25" spans="1:40" ht="18.95" customHeight="1" x14ac:dyDescent="0.2">
      <c r="A25" s="41">
        <f>каши!E5</f>
        <v>4.3499999999999996</v>
      </c>
      <c r="B25" s="41">
        <f>каши!F5</f>
        <v>7.3031249999999996</v>
      </c>
      <c r="C25" s="41">
        <f>каши!G5</f>
        <v>30.853124999999995</v>
      </c>
      <c r="D25" s="41">
        <f>каши!H5</f>
        <v>206.25</v>
      </c>
      <c r="E25" s="41">
        <f>каши!M5</f>
        <v>29.737500000000001</v>
      </c>
      <c r="F25" s="41">
        <f>каши!O5</f>
        <v>19.78125</v>
      </c>
      <c r="G25" s="41">
        <f>каши!P5</f>
        <v>0.890625</v>
      </c>
      <c r="H25" s="41">
        <f>каши!J5</f>
        <v>0</v>
      </c>
      <c r="I25" s="250"/>
      <c r="J25" s="250"/>
      <c r="K25" s="250"/>
      <c r="L25" s="250"/>
      <c r="M25" s="250"/>
      <c r="N25" s="250"/>
      <c r="O25" s="250"/>
      <c r="P25" s="250"/>
      <c r="Y25" s="41">
        <f>каши!E13</f>
        <v>5.7904761904761903</v>
      </c>
      <c r="Z25" s="41">
        <f>каши!F13</f>
        <v>10.647619047619047</v>
      </c>
      <c r="AA25" s="41">
        <f>каши!G13</f>
        <v>31.885714285714283</v>
      </c>
      <c r="AB25" s="41">
        <f>каши!H13</f>
        <v>247.61904761904762</v>
      </c>
      <c r="AC25" s="41">
        <f>каши!M13</f>
        <v>127.02857142857142</v>
      </c>
      <c r="AD25" s="41">
        <f>каши!O13</f>
        <v>35.44761904761905</v>
      </c>
      <c r="AE25" s="41">
        <f>каши!P13</f>
        <v>0.77142857142857146</v>
      </c>
      <c r="AF25" s="41">
        <f>каши!J13</f>
        <v>0.91428571428571426</v>
      </c>
    </row>
    <row r="26" spans="1:40" ht="18.95" customHeight="1" x14ac:dyDescent="0.2">
      <c r="A26" s="119"/>
      <c r="B26" s="119"/>
      <c r="C26" s="119"/>
      <c r="D26" s="119"/>
      <c r="E26" s="119"/>
      <c r="F26" s="119"/>
      <c r="G26" s="119"/>
      <c r="H26" s="119"/>
      <c r="I26" s="531" t="s">
        <v>981</v>
      </c>
      <c r="J26" s="531"/>
      <c r="K26" s="531"/>
      <c r="L26" s="531"/>
      <c r="M26" s="531"/>
      <c r="N26" s="531"/>
      <c r="O26" s="531"/>
      <c r="P26" s="531"/>
      <c r="Q26" s="462" t="s">
        <v>681</v>
      </c>
      <c r="R26" s="462"/>
      <c r="S26" s="462"/>
      <c r="T26" s="462"/>
      <c r="U26" s="462"/>
      <c r="V26" s="462"/>
      <c r="W26" s="462"/>
      <c r="X26" s="462"/>
      <c r="AG26" s="462" t="s">
        <v>678</v>
      </c>
      <c r="AH26" s="462"/>
      <c r="AI26" s="462"/>
      <c r="AJ26" s="462"/>
      <c r="AK26" s="462"/>
      <c r="AL26" s="462"/>
      <c r="AM26" s="462"/>
      <c r="AN26" s="462"/>
    </row>
    <row r="27" spans="1:40" ht="18.95" customHeight="1" x14ac:dyDescent="0.2">
      <c r="A27" s="462" t="s">
        <v>685</v>
      </c>
      <c r="B27" s="462"/>
      <c r="C27" s="462"/>
      <c r="D27" s="462"/>
      <c r="E27" s="462"/>
      <c r="F27" s="462"/>
      <c r="G27" s="462"/>
      <c r="H27" s="462"/>
      <c r="I27" s="531"/>
      <c r="J27" s="531"/>
      <c r="K27" s="531"/>
      <c r="L27" s="531"/>
      <c r="M27" s="531"/>
      <c r="N27" s="531"/>
      <c r="O27" s="531"/>
      <c r="P27" s="531"/>
      <c r="Q27" s="462"/>
      <c r="R27" s="462"/>
      <c r="S27" s="462"/>
      <c r="T27" s="462"/>
      <c r="U27" s="462"/>
      <c r="V27" s="462"/>
      <c r="W27" s="462"/>
      <c r="X27" s="462"/>
      <c r="Y27" s="462" t="s">
        <v>680</v>
      </c>
      <c r="Z27" s="462"/>
      <c r="AA27" s="462"/>
      <c r="AB27" s="462"/>
      <c r="AC27" s="462"/>
      <c r="AD27" s="462"/>
      <c r="AE27" s="462"/>
      <c r="AF27" s="462"/>
      <c r="AG27" s="462"/>
      <c r="AH27" s="462"/>
      <c r="AI27" s="462"/>
      <c r="AJ27" s="462"/>
      <c r="AK27" s="462"/>
      <c r="AL27" s="462"/>
      <c r="AM27" s="462"/>
      <c r="AN27" s="462"/>
    </row>
    <row r="28" spans="1:40" ht="18.95" customHeight="1" x14ac:dyDescent="0.2">
      <c r="A28" s="462"/>
      <c r="B28" s="462"/>
      <c r="C28" s="462"/>
      <c r="D28" s="462"/>
      <c r="E28" s="462"/>
      <c r="F28" s="462"/>
      <c r="G28" s="462"/>
      <c r="H28" s="462"/>
      <c r="I28" s="531"/>
      <c r="J28" s="531"/>
      <c r="K28" s="531"/>
      <c r="L28" s="531"/>
      <c r="M28" s="531"/>
      <c r="N28" s="531"/>
      <c r="O28" s="531"/>
      <c r="P28" s="531"/>
      <c r="Q28" s="142"/>
      <c r="R28" s="142"/>
      <c r="S28" s="142"/>
      <c r="T28" s="142"/>
      <c r="U28" s="142"/>
      <c r="V28" s="142"/>
      <c r="W28" s="142"/>
      <c r="X28" s="142"/>
      <c r="Y28" s="462"/>
      <c r="Z28" s="462"/>
      <c r="AA28" s="462"/>
      <c r="AB28" s="462"/>
      <c r="AC28" s="462"/>
      <c r="AD28" s="462"/>
      <c r="AE28" s="462"/>
      <c r="AF28" s="462"/>
      <c r="AG28" s="119"/>
      <c r="AH28" s="119"/>
      <c r="AI28" s="119"/>
      <c r="AJ28" s="119"/>
      <c r="AK28" s="119"/>
      <c r="AL28" s="119"/>
      <c r="AM28" s="119"/>
      <c r="AN28" s="119"/>
    </row>
    <row r="29" spans="1:40" ht="18.95" customHeight="1" x14ac:dyDescent="0.2">
      <c r="A29" s="462"/>
      <c r="B29" s="462"/>
      <c r="C29" s="462"/>
      <c r="D29" s="462"/>
      <c r="E29" s="462"/>
      <c r="F29" s="462"/>
      <c r="G29" s="462"/>
      <c r="H29" s="462"/>
      <c r="I29" s="255"/>
      <c r="J29" s="255"/>
      <c r="K29" s="255"/>
      <c r="L29" s="255"/>
      <c r="M29" s="255"/>
      <c r="N29" s="255"/>
      <c r="O29" s="255"/>
      <c r="P29" s="255"/>
      <c r="Q29" s="454" t="s">
        <v>232</v>
      </c>
      <c r="R29" s="454"/>
      <c r="S29" s="454"/>
      <c r="T29" s="164"/>
      <c r="U29" s="164"/>
      <c r="V29" s="164"/>
      <c r="W29" s="164"/>
      <c r="X29" s="164"/>
      <c r="Y29" s="462"/>
      <c r="Z29" s="462"/>
      <c r="AA29" s="462"/>
      <c r="AB29" s="462"/>
      <c r="AC29" s="462"/>
      <c r="AD29" s="462"/>
      <c r="AE29" s="462"/>
      <c r="AF29" s="462"/>
      <c r="AG29" s="454" t="s">
        <v>232</v>
      </c>
      <c r="AH29" s="454"/>
      <c r="AI29" s="454"/>
      <c r="AJ29" s="153"/>
      <c r="AK29" s="153"/>
      <c r="AL29" s="153"/>
      <c r="AM29" s="153"/>
      <c r="AN29" s="153"/>
    </row>
    <row r="30" spans="1:40" ht="18.95" customHeight="1" x14ac:dyDescent="0.2">
      <c r="A30" s="462"/>
      <c r="B30" s="462"/>
      <c r="C30" s="462"/>
      <c r="D30" s="462"/>
      <c r="E30" s="462"/>
      <c r="F30" s="462"/>
      <c r="G30" s="462"/>
      <c r="H30" s="462"/>
      <c r="I30" s="513" t="s">
        <v>232</v>
      </c>
      <c r="J30" s="513"/>
      <c r="K30" s="513"/>
      <c r="L30" s="250"/>
      <c r="M30" s="250"/>
      <c r="N30" s="250"/>
      <c r="O30" s="250"/>
      <c r="P30" s="250"/>
      <c r="Q30" s="164"/>
      <c r="R30" s="164"/>
      <c r="S30" s="164"/>
      <c r="T30" s="164"/>
      <c r="U30" s="164"/>
      <c r="V30" s="164"/>
      <c r="W30" s="164"/>
      <c r="X30" s="164"/>
      <c r="Y30" s="153"/>
      <c r="Z30" s="153"/>
      <c r="AA30" s="153"/>
      <c r="AB30" s="153"/>
      <c r="AC30" s="153"/>
      <c r="AD30" s="153"/>
      <c r="AE30" s="153"/>
      <c r="AF30" s="153"/>
    </row>
    <row r="31" spans="1:40" ht="18.95" customHeight="1" x14ac:dyDescent="0.2">
      <c r="Q31" s="119"/>
      <c r="R31" s="119"/>
      <c r="S31" s="119"/>
      <c r="T31" s="119"/>
      <c r="U31" s="119"/>
      <c r="V31" s="119"/>
      <c r="W31" s="119"/>
      <c r="X31" s="119"/>
      <c r="Y31" s="454" t="s">
        <v>232</v>
      </c>
      <c r="Z31" s="454"/>
      <c r="AA31" s="454"/>
      <c r="AG31" s="142"/>
      <c r="AH31" s="142"/>
      <c r="AI31" s="142"/>
      <c r="AJ31" s="142"/>
      <c r="AK31" s="142"/>
      <c r="AL31" s="142"/>
      <c r="AM31" s="142"/>
      <c r="AN31" s="142"/>
    </row>
    <row r="32" spans="1:40" ht="18.95" customHeight="1" x14ac:dyDescent="0.2">
      <c r="A32" s="454" t="s">
        <v>232</v>
      </c>
      <c r="B32" s="454"/>
      <c r="C32" s="454"/>
      <c r="AG32" s="142"/>
      <c r="AH32" s="142"/>
      <c r="AI32" s="142"/>
      <c r="AJ32" s="142"/>
      <c r="AK32" s="142"/>
      <c r="AL32" s="142"/>
      <c r="AM32" s="142"/>
      <c r="AN32" s="142"/>
    </row>
    <row r="33" spans="1:40" ht="18.95" customHeight="1" x14ac:dyDescent="0.2"/>
    <row r="34" spans="1:40" ht="18.95" customHeight="1" x14ac:dyDescent="0.2"/>
    <row r="35" spans="1:40" ht="18.95" customHeight="1" x14ac:dyDescent="0.2">
      <c r="AG35" s="125"/>
      <c r="AH35" s="142"/>
      <c r="AI35" s="142"/>
      <c r="AJ35" s="142"/>
      <c r="AK35" s="142"/>
      <c r="AL35" s="142"/>
      <c r="AM35" s="142"/>
      <c r="AN35" s="142"/>
    </row>
    <row r="36" spans="1:40" ht="18.95" customHeight="1" x14ac:dyDescent="0.2">
      <c r="AG36" s="125"/>
    </row>
    <row r="37" spans="1:40" ht="18.95" customHeight="1" x14ac:dyDescent="0.2">
      <c r="AG37" s="125"/>
    </row>
    <row r="38" spans="1:40" ht="18.95" customHeight="1" x14ac:dyDescent="0.2">
      <c r="AG38" s="125"/>
    </row>
    <row r="39" spans="1:40" ht="18.95" customHeight="1" x14ac:dyDescent="0.2"/>
    <row r="40" spans="1:40" ht="15" customHeight="1" x14ac:dyDescent="0.2"/>
    <row r="42" spans="1:40" x14ac:dyDescent="0.2">
      <c r="A42" s="472" t="s">
        <v>214</v>
      </c>
      <c r="B42" s="472"/>
      <c r="C42" s="168"/>
      <c r="D42" s="168"/>
      <c r="E42" s="168"/>
      <c r="F42" s="472" t="s">
        <v>215</v>
      </c>
      <c r="G42" s="472"/>
      <c r="H42" s="472"/>
      <c r="I42" s="472" t="s">
        <v>214</v>
      </c>
      <c r="J42" s="472"/>
      <c r="N42" s="454" t="s">
        <v>215</v>
      </c>
      <c r="O42" s="454"/>
      <c r="P42" s="454"/>
      <c r="Q42" s="454" t="s">
        <v>214</v>
      </c>
      <c r="R42" s="454"/>
      <c r="V42" s="454" t="s">
        <v>215</v>
      </c>
      <c r="W42" s="454"/>
      <c r="X42" s="454"/>
      <c r="Y42" s="472" t="s">
        <v>214</v>
      </c>
      <c r="Z42" s="472"/>
      <c r="AA42" s="168"/>
      <c r="AB42" s="168"/>
      <c r="AC42" s="168"/>
      <c r="AD42" s="472" t="s">
        <v>215</v>
      </c>
      <c r="AE42" s="472"/>
      <c r="AF42" s="472"/>
      <c r="AG42" s="472" t="s">
        <v>214</v>
      </c>
      <c r="AH42" s="472"/>
      <c r="AI42" s="168"/>
      <c r="AJ42" s="168"/>
      <c r="AK42" s="168"/>
      <c r="AL42" s="472" t="s">
        <v>215</v>
      </c>
      <c r="AM42" s="472"/>
      <c r="AN42" s="472"/>
    </row>
    <row r="43" spans="1:40" x14ac:dyDescent="0.2">
      <c r="E43" s="454" t="s">
        <v>216</v>
      </c>
      <c r="F43" s="454"/>
      <c r="G43" s="454"/>
      <c r="H43" s="454"/>
      <c r="M43" s="454" t="s">
        <v>216</v>
      </c>
      <c r="N43" s="454"/>
      <c r="O43" s="454"/>
      <c r="P43" s="454"/>
      <c r="U43" s="454" t="s">
        <v>216</v>
      </c>
      <c r="V43" s="454"/>
      <c r="W43" s="454"/>
      <c r="X43" s="454"/>
      <c r="AC43" s="454" t="s">
        <v>216</v>
      </c>
      <c r="AD43" s="454"/>
      <c r="AE43" s="454"/>
      <c r="AF43" s="454"/>
      <c r="AK43" s="454" t="s">
        <v>216</v>
      </c>
      <c r="AL43" s="454"/>
      <c r="AM43" s="454"/>
      <c r="AN43" s="454"/>
    </row>
    <row r="44" spans="1:40" x14ac:dyDescent="0.2">
      <c r="E44" s="161"/>
      <c r="F44" s="161"/>
      <c r="G44" s="161"/>
      <c r="H44" s="161"/>
      <c r="M44" s="161"/>
      <c r="N44" s="161"/>
      <c r="O44" s="161"/>
      <c r="P44" s="161"/>
      <c r="U44" s="161"/>
      <c r="V44" s="161"/>
      <c r="W44" s="161"/>
      <c r="X44" s="161"/>
      <c r="AC44" s="161"/>
      <c r="AD44" s="161"/>
      <c r="AE44" s="161"/>
      <c r="AF44" s="161"/>
      <c r="AK44" s="161"/>
      <c r="AL44" s="161"/>
      <c r="AM44" s="161"/>
      <c r="AN44" s="161"/>
    </row>
    <row r="45" spans="1:40" ht="18.95" customHeight="1" x14ac:dyDescent="0.2">
      <c r="A45" s="414" t="s">
        <v>590</v>
      </c>
      <c r="B45" s="414"/>
      <c r="C45" s="414"/>
      <c r="D45" s="414"/>
      <c r="E45" s="414"/>
      <c r="F45" s="414"/>
      <c r="G45" s="414"/>
      <c r="H45" s="414"/>
      <c r="I45" s="414" t="s">
        <v>591</v>
      </c>
      <c r="J45" s="414"/>
      <c r="K45" s="414"/>
      <c r="L45" s="414"/>
      <c r="M45" s="414"/>
      <c r="N45" s="414"/>
      <c r="O45" s="414"/>
      <c r="P45" s="414"/>
      <c r="Q45" s="414" t="s">
        <v>592</v>
      </c>
      <c r="R45" s="414"/>
      <c r="S45" s="414"/>
      <c r="T45" s="414"/>
      <c r="U45" s="414"/>
      <c r="V45" s="414"/>
      <c r="W45" s="414"/>
      <c r="X45" s="414"/>
      <c r="Y45" s="414" t="s">
        <v>593</v>
      </c>
      <c r="Z45" s="414"/>
      <c r="AA45" s="414"/>
      <c r="AB45" s="414"/>
      <c r="AC45" s="414"/>
      <c r="AD45" s="414"/>
      <c r="AE45" s="414"/>
      <c r="AF45" s="414"/>
      <c r="AG45" s="414" t="s">
        <v>594</v>
      </c>
      <c r="AH45" s="414"/>
      <c r="AI45" s="414"/>
      <c r="AJ45" s="414"/>
      <c r="AK45" s="414"/>
      <c r="AL45" s="414"/>
      <c r="AM45" s="414"/>
      <c r="AN45" s="414"/>
    </row>
    <row r="46" spans="1:40" ht="18.95" customHeight="1" x14ac:dyDescent="0.2">
      <c r="A46" s="473" t="s">
        <v>607</v>
      </c>
      <c r="B46" s="473"/>
      <c r="C46" s="473"/>
      <c r="D46" s="473"/>
      <c r="E46" s="473"/>
      <c r="F46" s="473"/>
      <c r="G46" s="473"/>
      <c r="H46" s="473"/>
      <c r="I46" s="473" t="s">
        <v>927</v>
      </c>
      <c r="J46" s="473"/>
      <c r="K46" s="473"/>
      <c r="L46" s="473"/>
      <c r="M46" s="473"/>
      <c r="N46" s="473"/>
      <c r="O46" s="473"/>
      <c r="P46" s="473"/>
      <c r="Q46" s="473" t="s">
        <v>610</v>
      </c>
      <c r="R46" s="465"/>
      <c r="S46" s="465"/>
      <c r="T46" s="465"/>
      <c r="U46" s="465"/>
      <c r="V46" s="465"/>
      <c r="W46" s="465"/>
      <c r="X46" s="465"/>
      <c r="Y46" s="473" t="s">
        <v>612</v>
      </c>
      <c r="Z46" s="465"/>
      <c r="AA46" s="465"/>
      <c r="AB46" s="465"/>
      <c r="AC46" s="465"/>
      <c r="AD46" s="465"/>
      <c r="AE46" s="465"/>
      <c r="AF46" s="465"/>
      <c r="AG46" s="473" t="s">
        <v>614</v>
      </c>
      <c r="AH46" s="465"/>
      <c r="AI46" s="465"/>
      <c r="AJ46" s="465"/>
      <c r="AK46" s="465"/>
      <c r="AL46" s="465"/>
      <c r="AM46" s="465"/>
      <c r="AN46" s="465"/>
    </row>
    <row r="47" spans="1:40" ht="18.95" customHeight="1" x14ac:dyDescent="0.2">
      <c r="A47" s="473" t="s">
        <v>879</v>
      </c>
      <c r="B47" s="473"/>
      <c r="C47" s="473"/>
      <c r="D47" s="473"/>
      <c r="E47" s="473"/>
      <c r="F47" s="473"/>
      <c r="G47" s="473"/>
      <c r="H47" s="473"/>
      <c r="I47" s="473" t="s">
        <v>608</v>
      </c>
      <c r="J47" s="473"/>
      <c r="K47" s="473"/>
      <c r="L47" s="473"/>
      <c r="M47" s="473"/>
      <c r="N47" s="473"/>
      <c r="O47" s="473"/>
      <c r="P47" s="473"/>
      <c r="Q47" s="473" t="s">
        <v>609</v>
      </c>
      <c r="R47" s="473"/>
      <c r="S47" s="473"/>
      <c r="T47" s="473"/>
      <c r="U47" s="473"/>
      <c r="V47" s="473"/>
      <c r="W47" s="473"/>
      <c r="X47" s="473"/>
      <c r="Y47" s="473" t="s">
        <v>611</v>
      </c>
      <c r="Z47" s="473"/>
      <c r="AA47" s="473"/>
      <c r="AB47" s="473"/>
      <c r="AC47" s="473"/>
      <c r="AD47" s="473"/>
      <c r="AE47" s="473"/>
      <c r="AF47" s="473"/>
      <c r="AG47" s="473" t="s">
        <v>613</v>
      </c>
      <c r="AH47" s="473"/>
      <c r="AI47" s="473"/>
      <c r="AJ47" s="473"/>
      <c r="AK47" s="473"/>
      <c r="AL47" s="473"/>
      <c r="AM47" s="473"/>
      <c r="AN47" s="473"/>
    </row>
    <row r="48" spans="1:40" ht="18.95" customHeight="1" x14ac:dyDescent="0.2">
      <c r="A48" s="465" t="s">
        <v>189</v>
      </c>
      <c r="B48" s="465"/>
      <c r="C48" s="465"/>
      <c r="D48" s="465"/>
      <c r="E48" s="465"/>
      <c r="F48" s="465"/>
      <c r="G48" s="465"/>
      <c r="H48" s="465"/>
      <c r="I48" s="465" t="s">
        <v>189</v>
      </c>
      <c r="J48" s="465"/>
      <c r="K48" s="465"/>
      <c r="L48" s="465"/>
      <c r="M48" s="465"/>
      <c r="N48" s="465"/>
      <c r="O48" s="465"/>
      <c r="P48" s="465"/>
      <c r="Q48" s="465" t="s">
        <v>189</v>
      </c>
      <c r="R48" s="465"/>
      <c r="S48" s="465"/>
      <c r="T48" s="465"/>
      <c r="U48" s="465"/>
      <c r="V48" s="465"/>
      <c r="W48" s="465"/>
      <c r="X48" s="465"/>
      <c r="Y48" s="465" t="s">
        <v>189</v>
      </c>
      <c r="Z48" s="465"/>
      <c r="AA48" s="465"/>
      <c r="AB48" s="465"/>
      <c r="AC48" s="465"/>
      <c r="AD48" s="465"/>
      <c r="AE48" s="465"/>
      <c r="AF48" s="465"/>
      <c r="AG48" s="465" t="s">
        <v>189</v>
      </c>
      <c r="AH48" s="465"/>
      <c r="AI48" s="465"/>
      <c r="AJ48" s="465"/>
      <c r="AK48" s="465"/>
      <c r="AL48" s="465"/>
      <c r="AM48" s="465"/>
      <c r="AN48" s="465"/>
    </row>
    <row r="49" spans="1:40" ht="18.95" customHeight="1" x14ac:dyDescent="0.2">
      <c r="A49" s="465" t="s">
        <v>190</v>
      </c>
      <c r="B49" s="465"/>
      <c r="C49" s="465"/>
      <c r="D49" s="465"/>
      <c r="E49" s="465"/>
      <c r="F49" s="465"/>
      <c r="G49" s="465"/>
      <c r="H49" s="465"/>
      <c r="I49" s="465" t="s">
        <v>190</v>
      </c>
      <c r="J49" s="465"/>
      <c r="K49" s="465"/>
      <c r="L49" s="465"/>
      <c r="M49" s="465"/>
      <c r="N49" s="465"/>
      <c r="O49" s="465"/>
      <c r="P49" s="465"/>
      <c r="Q49" s="465" t="s">
        <v>190</v>
      </c>
      <c r="R49" s="465"/>
      <c r="S49" s="465"/>
      <c r="T49" s="465"/>
      <c r="U49" s="465"/>
      <c r="V49" s="465"/>
      <c r="W49" s="465"/>
      <c r="X49" s="465"/>
      <c r="Y49" s="465" t="s">
        <v>190</v>
      </c>
      <c r="Z49" s="465"/>
      <c r="AA49" s="465"/>
      <c r="AB49" s="465"/>
      <c r="AC49" s="465"/>
      <c r="AD49" s="465"/>
      <c r="AE49" s="465"/>
      <c r="AF49" s="465"/>
      <c r="AG49" s="465" t="s">
        <v>190</v>
      </c>
      <c r="AH49" s="465"/>
      <c r="AI49" s="465"/>
      <c r="AJ49" s="465"/>
      <c r="AK49" s="465"/>
      <c r="AL49" s="465"/>
      <c r="AM49" s="465"/>
      <c r="AN49" s="465"/>
    </row>
    <row r="50" spans="1:40" ht="18.95" customHeight="1" x14ac:dyDescent="0.2">
      <c r="C50" s="159"/>
      <c r="K50" s="159"/>
      <c r="S50" s="159"/>
      <c r="AA50" s="159"/>
      <c r="AI50" s="159"/>
    </row>
    <row r="51" spans="1:40" ht="18.95" customHeight="1" x14ac:dyDescent="0.2">
      <c r="B51" s="466" t="s">
        <v>174</v>
      </c>
      <c r="C51" s="467"/>
      <c r="D51" s="412" t="s">
        <v>179</v>
      </c>
      <c r="E51" s="412"/>
      <c r="F51" s="412"/>
      <c r="G51" s="412"/>
      <c r="J51" s="466" t="s">
        <v>174</v>
      </c>
      <c r="K51" s="467"/>
      <c r="L51" s="412" t="s">
        <v>179</v>
      </c>
      <c r="M51" s="412"/>
      <c r="N51" s="412"/>
      <c r="O51" s="412"/>
      <c r="R51" s="466" t="s">
        <v>174</v>
      </c>
      <c r="S51" s="467"/>
      <c r="T51" s="412" t="s">
        <v>179</v>
      </c>
      <c r="U51" s="412"/>
      <c r="V51" s="412"/>
      <c r="W51" s="412"/>
      <c r="Z51" s="466" t="s">
        <v>174</v>
      </c>
      <c r="AA51" s="467"/>
      <c r="AB51" s="412" t="s">
        <v>179</v>
      </c>
      <c r="AC51" s="412"/>
      <c r="AD51" s="412"/>
      <c r="AE51" s="412"/>
      <c r="AH51" s="466" t="s">
        <v>174</v>
      </c>
      <c r="AI51" s="467"/>
      <c r="AJ51" s="412" t="s">
        <v>179</v>
      </c>
      <c r="AK51" s="412"/>
      <c r="AL51" s="412"/>
      <c r="AM51" s="412"/>
    </row>
    <row r="52" spans="1:40" ht="18.95" customHeight="1" x14ac:dyDescent="0.2">
      <c r="B52" s="468"/>
      <c r="C52" s="469"/>
      <c r="D52" s="412" t="s">
        <v>177</v>
      </c>
      <c r="E52" s="412"/>
      <c r="F52" s="412" t="s">
        <v>178</v>
      </c>
      <c r="G52" s="412"/>
      <c r="J52" s="468"/>
      <c r="K52" s="469"/>
      <c r="L52" s="412" t="s">
        <v>177</v>
      </c>
      <c r="M52" s="412"/>
      <c r="N52" s="412" t="s">
        <v>178</v>
      </c>
      <c r="O52" s="412"/>
      <c r="R52" s="468"/>
      <c r="S52" s="469"/>
      <c r="T52" s="412" t="s">
        <v>177</v>
      </c>
      <c r="U52" s="412"/>
      <c r="V52" s="412" t="s">
        <v>178</v>
      </c>
      <c r="W52" s="412"/>
      <c r="Z52" s="468"/>
      <c r="AA52" s="469"/>
      <c r="AB52" s="412" t="s">
        <v>177</v>
      </c>
      <c r="AC52" s="412"/>
      <c r="AD52" s="412" t="s">
        <v>178</v>
      </c>
      <c r="AE52" s="412"/>
      <c r="AH52" s="468"/>
      <c r="AI52" s="469"/>
      <c r="AJ52" s="412" t="s">
        <v>177</v>
      </c>
      <c r="AK52" s="412"/>
      <c r="AL52" s="412" t="s">
        <v>178</v>
      </c>
      <c r="AM52" s="412"/>
    </row>
    <row r="53" spans="1:40" ht="18.95" customHeight="1" x14ac:dyDescent="0.2">
      <c r="B53" s="470"/>
      <c r="C53" s="471"/>
      <c r="D53" s="158" t="s">
        <v>175</v>
      </c>
      <c r="E53" s="158" t="s">
        <v>176</v>
      </c>
      <c r="F53" s="158" t="s">
        <v>175</v>
      </c>
      <c r="G53" s="158" t="s">
        <v>176</v>
      </c>
      <c r="J53" s="470"/>
      <c r="K53" s="471"/>
      <c r="L53" s="158" t="s">
        <v>175</v>
      </c>
      <c r="M53" s="158" t="s">
        <v>176</v>
      </c>
      <c r="N53" s="158" t="s">
        <v>175</v>
      </c>
      <c r="O53" s="158" t="s">
        <v>176</v>
      </c>
      <c r="R53" s="470"/>
      <c r="S53" s="471"/>
      <c r="T53" s="158" t="s">
        <v>175</v>
      </c>
      <c r="U53" s="158" t="s">
        <v>176</v>
      </c>
      <c r="V53" s="158" t="s">
        <v>175</v>
      </c>
      <c r="W53" s="158" t="s">
        <v>176</v>
      </c>
      <c r="Z53" s="470"/>
      <c r="AA53" s="471"/>
      <c r="AB53" s="158" t="s">
        <v>175</v>
      </c>
      <c r="AC53" s="158" t="s">
        <v>176</v>
      </c>
      <c r="AD53" s="158" t="s">
        <v>175</v>
      </c>
      <c r="AE53" s="158" t="s">
        <v>176</v>
      </c>
      <c r="AH53" s="470"/>
      <c r="AI53" s="471"/>
      <c r="AJ53" s="158" t="s">
        <v>175</v>
      </c>
      <c r="AK53" s="158" t="s">
        <v>176</v>
      </c>
      <c r="AL53" s="158" t="s">
        <v>175</v>
      </c>
      <c r="AM53" s="158" t="s">
        <v>176</v>
      </c>
    </row>
    <row r="54" spans="1:40" ht="18.95" customHeight="1" x14ac:dyDescent="0.2">
      <c r="B54" s="455" t="s">
        <v>472</v>
      </c>
      <c r="C54" s="456"/>
      <c r="D54" s="106">
        <v>45</v>
      </c>
      <c r="E54" s="106">
        <v>45</v>
      </c>
      <c r="F54" s="106">
        <f>D54*100</f>
        <v>4500</v>
      </c>
      <c r="G54" s="106">
        <f>E54*100</f>
        <v>4500</v>
      </c>
      <c r="J54" s="455" t="s">
        <v>472</v>
      </c>
      <c r="K54" s="456"/>
      <c r="L54" s="106">
        <f>25*M66/120</f>
        <v>31.25</v>
      </c>
      <c r="M54" s="106">
        <f>25*M66/120</f>
        <v>31.25</v>
      </c>
      <c r="N54" s="106">
        <f>L54*100</f>
        <v>3125</v>
      </c>
      <c r="O54" s="106">
        <f>M54*100</f>
        <v>3125</v>
      </c>
      <c r="R54" s="463" t="s">
        <v>667</v>
      </c>
      <c r="S54" s="464"/>
      <c r="T54" s="41" t="s">
        <v>1014</v>
      </c>
      <c r="U54" s="41">
        <v>142.5</v>
      </c>
      <c r="V54" s="41">
        <v>4987</v>
      </c>
      <c r="W54" s="41">
        <f>U54*100</f>
        <v>14250</v>
      </c>
      <c r="Z54" s="455" t="s">
        <v>287</v>
      </c>
      <c r="AA54" s="456"/>
      <c r="AB54" s="106">
        <v>226</v>
      </c>
      <c r="AC54" s="41">
        <v>109.38</v>
      </c>
      <c r="AD54" s="106">
        <v>233</v>
      </c>
      <c r="AE54" s="41">
        <f>AC54*100</f>
        <v>10938</v>
      </c>
      <c r="AH54" s="455" t="s">
        <v>649</v>
      </c>
      <c r="AI54" s="456"/>
      <c r="AJ54" s="106">
        <f>35.5*AK65/80</f>
        <v>66.5625</v>
      </c>
      <c r="AK54" s="106">
        <f>35*AK65/80</f>
        <v>65.625</v>
      </c>
      <c r="AL54" s="106">
        <f>AJ54*100</f>
        <v>6656.25</v>
      </c>
      <c r="AM54" s="106">
        <f>AK54*100</f>
        <v>6562.5</v>
      </c>
    </row>
    <row r="55" spans="1:40" ht="18.95" customHeight="1" x14ac:dyDescent="0.2">
      <c r="B55" s="455" t="s">
        <v>670</v>
      </c>
      <c r="C55" s="456"/>
      <c r="D55" s="106">
        <v>93</v>
      </c>
      <c r="E55" s="106">
        <v>93</v>
      </c>
      <c r="F55" s="106">
        <f>D55*100</f>
        <v>9300</v>
      </c>
      <c r="G55" s="106">
        <f t="shared" ref="G55:G66" si="7">E55*100</f>
        <v>9300</v>
      </c>
      <c r="J55" s="455" t="s">
        <v>669</v>
      </c>
      <c r="K55" s="456"/>
      <c r="L55" s="106">
        <f>25*M66/120</f>
        <v>31.25</v>
      </c>
      <c r="M55" s="106">
        <f>25*M66/120</f>
        <v>31.25</v>
      </c>
      <c r="N55" s="106">
        <f>L55*100</f>
        <v>3125</v>
      </c>
      <c r="O55" s="106">
        <f t="shared" ref="O55:O66" si="8">M55*100</f>
        <v>3125</v>
      </c>
      <c r="R55" s="241" t="s">
        <v>191</v>
      </c>
      <c r="S55" s="242"/>
      <c r="T55" s="41">
        <v>7.5</v>
      </c>
      <c r="U55" s="41">
        <v>7.5</v>
      </c>
      <c r="V55" s="41">
        <f>T55*100</f>
        <v>750</v>
      </c>
      <c r="W55" s="41">
        <f>U55*100</f>
        <v>750</v>
      </c>
      <c r="Z55" s="455" t="s">
        <v>663</v>
      </c>
      <c r="AA55" s="456"/>
      <c r="AB55" s="41">
        <v>109.38</v>
      </c>
      <c r="AC55" s="41">
        <v>109.38</v>
      </c>
      <c r="AD55" s="41">
        <f>AB55*100</f>
        <v>10938</v>
      </c>
      <c r="AE55" s="41">
        <f t="shared" ref="AE55:AE61" si="9">AC55*100</f>
        <v>10938</v>
      </c>
      <c r="AH55" s="455" t="s">
        <v>246</v>
      </c>
      <c r="AI55" s="456"/>
      <c r="AJ55" s="106">
        <f>14*AK65/80</f>
        <v>26.25</v>
      </c>
      <c r="AK55" s="106">
        <f>11*AK65/80</f>
        <v>20.625</v>
      </c>
      <c r="AL55" s="106">
        <f>AJ55*100</f>
        <v>2625</v>
      </c>
      <c r="AM55" s="106">
        <f t="shared" ref="AM55:AM65" si="10">AK55*100</f>
        <v>2062.5</v>
      </c>
    </row>
    <row r="56" spans="1:40" ht="18.95" customHeight="1" x14ac:dyDescent="0.2">
      <c r="B56" s="455" t="s">
        <v>649</v>
      </c>
      <c r="C56" s="456"/>
      <c r="D56" s="106">
        <v>24.3</v>
      </c>
      <c r="E56" s="106">
        <v>24</v>
      </c>
      <c r="F56" s="106">
        <f>D56*100</f>
        <v>2430</v>
      </c>
      <c r="G56" s="106">
        <f t="shared" si="7"/>
        <v>2400</v>
      </c>
      <c r="J56" s="455" t="s">
        <v>670</v>
      </c>
      <c r="K56" s="456"/>
      <c r="L56" s="106">
        <f>58*M66/120</f>
        <v>72.5</v>
      </c>
      <c r="M56" s="106">
        <f>58*M66/120</f>
        <v>72.5</v>
      </c>
      <c r="N56" s="106">
        <f>L56*100</f>
        <v>7250</v>
      </c>
      <c r="O56" s="106">
        <f t="shared" si="8"/>
        <v>7250</v>
      </c>
      <c r="R56" s="243" t="s">
        <v>180</v>
      </c>
      <c r="S56" s="244"/>
      <c r="T56" s="118"/>
      <c r="U56" s="106">
        <f>каши!B21</f>
        <v>150</v>
      </c>
      <c r="V56" s="118"/>
      <c r="W56" s="106">
        <f>U56*100</f>
        <v>15000</v>
      </c>
      <c r="Z56" s="455" t="s">
        <v>998</v>
      </c>
      <c r="AA56" s="456"/>
      <c r="AB56" s="41">
        <v>4.9000000000000004</v>
      </c>
      <c r="AC56" s="41">
        <v>4.9000000000000004</v>
      </c>
      <c r="AD56" s="41">
        <f>AB56*100</f>
        <v>490.00000000000006</v>
      </c>
      <c r="AE56" s="41">
        <f t="shared" si="9"/>
        <v>490.00000000000006</v>
      </c>
      <c r="AH56" s="455" t="s">
        <v>191</v>
      </c>
      <c r="AI56" s="456"/>
      <c r="AJ56" s="106">
        <f>2*AK65/80</f>
        <v>3.75</v>
      </c>
      <c r="AK56" s="106">
        <f>2*AK65/80</f>
        <v>3.75</v>
      </c>
      <c r="AL56" s="106">
        <f>AJ56*100</f>
        <v>375</v>
      </c>
      <c r="AM56" s="106">
        <f t="shared" si="10"/>
        <v>375</v>
      </c>
    </row>
    <row r="57" spans="1:40" ht="18.95" customHeight="1" x14ac:dyDescent="0.2">
      <c r="B57" s="455" t="s">
        <v>297</v>
      </c>
      <c r="C57" s="456"/>
      <c r="D57" s="106">
        <v>9</v>
      </c>
      <c r="E57" s="106">
        <v>9</v>
      </c>
      <c r="F57" s="106">
        <f>D57*100</f>
        <v>900</v>
      </c>
      <c r="G57" s="106">
        <f t="shared" si="7"/>
        <v>900</v>
      </c>
      <c r="J57" s="455" t="s">
        <v>287</v>
      </c>
      <c r="K57" s="456"/>
      <c r="L57" s="106" t="s">
        <v>881</v>
      </c>
      <c r="M57" s="106">
        <f>10*M66/120</f>
        <v>12.5</v>
      </c>
      <c r="N57" s="106" t="s">
        <v>882</v>
      </c>
      <c r="O57" s="106">
        <f t="shared" si="8"/>
        <v>1250</v>
      </c>
      <c r="Z57" s="455" t="s">
        <v>664</v>
      </c>
      <c r="AA57" s="456"/>
      <c r="AB57" s="41"/>
      <c r="AC57" s="41">
        <v>155</v>
      </c>
      <c r="AD57" s="41"/>
      <c r="AE57" s="41">
        <f t="shared" si="9"/>
        <v>15500</v>
      </c>
      <c r="AH57" s="455" t="s">
        <v>650</v>
      </c>
      <c r="AI57" s="456"/>
      <c r="AJ57" s="106">
        <f>3*AK65/80</f>
        <v>5.625</v>
      </c>
      <c r="AK57" s="106">
        <f>3*AK65/80</f>
        <v>5.625</v>
      </c>
      <c r="AL57" s="106">
        <f>AJ57*100</f>
        <v>562.5</v>
      </c>
      <c r="AM57" s="106">
        <f t="shared" si="10"/>
        <v>562.5</v>
      </c>
    </row>
    <row r="58" spans="1:40" ht="18.95" customHeight="1" x14ac:dyDescent="0.2">
      <c r="B58" s="455" t="s">
        <v>287</v>
      </c>
      <c r="C58" s="456"/>
      <c r="D58" s="106" t="s">
        <v>746</v>
      </c>
      <c r="E58" s="106">
        <v>6</v>
      </c>
      <c r="F58" s="106">
        <v>13</v>
      </c>
      <c r="G58" s="106">
        <v>600</v>
      </c>
      <c r="J58" s="455" t="s">
        <v>297</v>
      </c>
      <c r="K58" s="456"/>
      <c r="L58" s="106">
        <f>8*M66/120</f>
        <v>10</v>
      </c>
      <c r="M58" s="106">
        <f>8*M66/120</f>
        <v>10</v>
      </c>
      <c r="N58" s="106">
        <f>L58*100</f>
        <v>1000</v>
      </c>
      <c r="O58" s="106">
        <f t="shared" si="8"/>
        <v>1000</v>
      </c>
      <c r="Q58" s="459" t="s">
        <v>181</v>
      </c>
      <c r="R58" s="459"/>
      <c r="S58" s="459"/>
      <c r="T58" s="459"/>
      <c r="U58" s="459"/>
      <c r="V58" s="459"/>
      <c r="W58" s="459"/>
      <c r="X58" s="459"/>
      <c r="Z58" s="455" t="s">
        <v>191</v>
      </c>
      <c r="AA58" s="456"/>
      <c r="AB58" s="41">
        <v>5.64</v>
      </c>
      <c r="AC58" s="41">
        <v>5.64</v>
      </c>
      <c r="AD58" s="41">
        <f>AB58*100</f>
        <v>564</v>
      </c>
      <c r="AE58" s="41">
        <f t="shared" si="9"/>
        <v>564</v>
      </c>
      <c r="AH58" s="455" t="s">
        <v>274</v>
      </c>
      <c r="AI58" s="456"/>
      <c r="AJ58" s="106" t="s">
        <v>654</v>
      </c>
      <c r="AK58" s="106">
        <f>2*AK65/80</f>
        <v>3.75</v>
      </c>
      <c r="AL58" s="106" t="s">
        <v>884</v>
      </c>
      <c r="AM58" s="106">
        <f t="shared" si="10"/>
        <v>375</v>
      </c>
    </row>
    <row r="59" spans="1:40" ht="18.95" customHeight="1" x14ac:dyDescent="0.2">
      <c r="B59" s="455" t="s">
        <v>657</v>
      </c>
      <c r="C59" s="456"/>
      <c r="D59" s="106">
        <f>0.01*E66/120</f>
        <v>1.2500000000000001E-2</v>
      </c>
      <c r="E59" s="106">
        <f>0.01*E66/120</f>
        <v>1.2500000000000001E-2</v>
      </c>
      <c r="F59" s="106">
        <f>D59*100</f>
        <v>1.25</v>
      </c>
      <c r="G59" s="106">
        <f t="shared" si="7"/>
        <v>1.25</v>
      </c>
      <c r="J59" s="455" t="s">
        <v>191</v>
      </c>
      <c r="K59" s="456"/>
      <c r="L59" s="106">
        <f>2*M66/120</f>
        <v>2.5</v>
      </c>
      <c r="M59" s="106">
        <f>2*M66/120</f>
        <v>2.5</v>
      </c>
      <c r="N59" s="106">
        <f t="shared" ref="N59:N65" si="11">L59*100</f>
        <v>250</v>
      </c>
      <c r="O59" s="106">
        <f t="shared" si="8"/>
        <v>250</v>
      </c>
      <c r="Q59" s="236" t="s">
        <v>182</v>
      </c>
      <c r="R59" s="236" t="s">
        <v>106</v>
      </c>
      <c r="S59" s="237" t="s">
        <v>107</v>
      </c>
      <c r="T59" s="238" t="s">
        <v>187</v>
      </c>
      <c r="U59" s="236" t="s">
        <v>183</v>
      </c>
      <c r="V59" s="236" t="s">
        <v>184</v>
      </c>
      <c r="W59" s="236" t="s">
        <v>185</v>
      </c>
      <c r="X59" s="236" t="s">
        <v>186</v>
      </c>
      <c r="Z59" s="455" t="s">
        <v>665</v>
      </c>
      <c r="AA59" s="456"/>
      <c r="AB59" s="41"/>
      <c r="AC59" s="41">
        <v>150.47</v>
      </c>
      <c r="AD59" s="41"/>
      <c r="AE59" s="41">
        <v>150.47</v>
      </c>
      <c r="AH59" s="455" t="s">
        <v>297</v>
      </c>
      <c r="AI59" s="456"/>
      <c r="AJ59" s="106">
        <f>4*AK65/80</f>
        <v>7.5</v>
      </c>
      <c r="AK59" s="106">
        <f>4*AK65/80</f>
        <v>7.5</v>
      </c>
      <c r="AL59" s="106">
        <f>AJ59*100</f>
        <v>750</v>
      </c>
      <c r="AM59" s="106">
        <f t="shared" si="10"/>
        <v>750</v>
      </c>
    </row>
    <row r="60" spans="1:40" ht="18.95" customHeight="1" x14ac:dyDescent="0.2">
      <c r="B60" s="484" t="s">
        <v>671</v>
      </c>
      <c r="C60" s="485"/>
      <c r="D60" s="106">
        <v>3</v>
      </c>
      <c r="E60" s="106">
        <v>3</v>
      </c>
      <c r="F60" s="106">
        <f t="shared" ref="F60:F65" si="12">D60*100</f>
        <v>300</v>
      </c>
      <c r="G60" s="106">
        <f t="shared" si="7"/>
        <v>300</v>
      </c>
      <c r="J60" s="484" t="s">
        <v>671</v>
      </c>
      <c r="K60" s="485"/>
      <c r="L60" s="106">
        <f>2*M66/120</f>
        <v>2.5</v>
      </c>
      <c r="M60" s="106">
        <f>2*M66/120</f>
        <v>2.5</v>
      </c>
      <c r="N60" s="106">
        <f t="shared" si="11"/>
        <v>250</v>
      </c>
      <c r="O60" s="106">
        <f t="shared" si="8"/>
        <v>250</v>
      </c>
      <c r="Q60" s="41">
        <f>каши!E21</f>
        <v>5.4571428571428573</v>
      </c>
      <c r="R60" s="41">
        <f>каши!F21</f>
        <v>5.7857142857142856</v>
      </c>
      <c r="S60" s="41">
        <f>каши!G21</f>
        <v>30.457142857142856</v>
      </c>
      <c r="T60" s="41">
        <f>каши!H21</f>
        <v>195.71428571428572</v>
      </c>
      <c r="U60" s="41">
        <f>каши!M21</f>
        <v>12.142857142857142</v>
      </c>
      <c r="V60" s="41">
        <f>каши!O21</f>
        <v>8.1428571428571423</v>
      </c>
      <c r="W60" s="41">
        <f>каши!P21</f>
        <v>0.81428571428571417</v>
      </c>
      <c r="X60" s="41">
        <f>каши!J21</f>
        <v>0</v>
      </c>
      <c r="Z60" s="455" t="s">
        <v>191</v>
      </c>
      <c r="AA60" s="456"/>
      <c r="AB60" s="41">
        <v>5</v>
      </c>
      <c r="AC60" s="41">
        <v>5</v>
      </c>
      <c r="AD60" s="41">
        <f>AB60*100</f>
        <v>500</v>
      </c>
      <c r="AE60" s="41">
        <f t="shared" si="9"/>
        <v>500</v>
      </c>
      <c r="AH60" s="455" t="s">
        <v>410</v>
      </c>
      <c r="AI60" s="456"/>
      <c r="AJ60" s="106">
        <f>6*AK65/80</f>
        <v>11.25</v>
      </c>
      <c r="AK60" s="106">
        <f>6*AK65/80</f>
        <v>11.25</v>
      </c>
      <c r="AL60" s="106">
        <f>AJ60*100</f>
        <v>1125</v>
      </c>
      <c r="AM60" s="106">
        <f t="shared" si="10"/>
        <v>1125</v>
      </c>
    </row>
    <row r="61" spans="1:40" ht="18.95" customHeight="1" x14ac:dyDescent="0.2">
      <c r="B61" s="455" t="s">
        <v>672</v>
      </c>
      <c r="C61" s="456"/>
      <c r="D61" s="106">
        <v>3</v>
      </c>
      <c r="E61" s="106">
        <v>3</v>
      </c>
      <c r="F61" s="106">
        <f t="shared" si="12"/>
        <v>300</v>
      </c>
      <c r="G61" s="106">
        <f t="shared" si="7"/>
        <v>300</v>
      </c>
      <c r="J61" s="455" t="s">
        <v>672</v>
      </c>
      <c r="K61" s="456"/>
      <c r="L61" s="106">
        <f>2*M66/120</f>
        <v>2.5</v>
      </c>
      <c r="M61" s="106">
        <f>2*M66/120</f>
        <v>2.5</v>
      </c>
      <c r="N61" s="106">
        <f t="shared" si="11"/>
        <v>250</v>
      </c>
      <c r="O61" s="106">
        <f t="shared" si="8"/>
        <v>250</v>
      </c>
      <c r="Z61" s="457" t="s">
        <v>180</v>
      </c>
      <c r="AA61" s="458"/>
      <c r="AB61" s="118"/>
      <c r="AC61" s="106">
        <f>каши!B23</f>
        <v>150</v>
      </c>
      <c r="AD61" s="106"/>
      <c r="AE61" s="106">
        <f t="shared" si="9"/>
        <v>15000</v>
      </c>
      <c r="AH61" s="455" t="s">
        <v>416</v>
      </c>
      <c r="AI61" s="456"/>
      <c r="AJ61" s="106"/>
      <c r="AK61" s="106">
        <f>57*AK65/80</f>
        <v>106.875</v>
      </c>
      <c r="AL61" s="106"/>
      <c r="AM61" s="106">
        <f t="shared" si="10"/>
        <v>10687.5</v>
      </c>
    </row>
    <row r="62" spans="1:40" ht="18.95" customHeight="1" x14ac:dyDescent="0.2">
      <c r="B62" s="455" t="s">
        <v>440</v>
      </c>
      <c r="C62" s="456"/>
      <c r="D62" s="106">
        <v>3</v>
      </c>
      <c r="E62" s="106">
        <v>3</v>
      </c>
      <c r="F62" s="106">
        <f t="shared" si="12"/>
        <v>300</v>
      </c>
      <c r="G62" s="106">
        <f t="shared" si="7"/>
        <v>300</v>
      </c>
      <c r="J62" s="455" t="s">
        <v>440</v>
      </c>
      <c r="K62" s="456"/>
      <c r="L62" s="106">
        <f>2*M66/120</f>
        <v>2.5</v>
      </c>
      <c r="M62" s="106">
        <f>2*M66/120</f>
        <v>2.5</v>
      </c>
      <c r="N62" s="106">
        <f t="shared" si="11"/>
        <v>250</v>
      </c>
      <c r="O62" s="106">
        <f t="shared" si="8"/>
        <v>250</v>
      </c>
      <c r="Q62" s="462" t="s">
        <v>668</v>
      </c>
      <c r="R62" s="462"/>
      <c r="S62" s="462"/>
      <c r="T62" s="462"/>
      <c r="U62" s="462"/>
      <c r="V62" s="462"/>
      <c r="W62" s="462"/>
      <c r="X62" s="462"/>
      <c r="AH62" s="455" t="s">
        <v>207</v>
      </c>
      <c r="AI62" s="456"/>
      <c r="AJ62" s="106">
        <f>3*AK65/80</f>
        <v>5.625</v>
      </c>
      <c r="AK62" s="106">
        <f>3*AK65/80</f>
        <v>5.625</v>
      </c>
      <c r="AL62" s="106">
        <f>AJ62*100</f>
        <v>562.5</v>
      </c>
      <c r="AM62" s="106">
        <f t="shared" si="10"/>
        <v>562.5</v>
      </c>
    </row>
    <row r="63" spans="1:40" ht="18.95" customHeight="1" x14ac:dyDescent="0.2">
      <c r="B63" s="455" t="s">
        <v>416</v>
      </c>
      <c r="C63" s="456"/>
      <c r="D63" s="106"/>
      <c r="E63" s="106">
        <v>162</v>
      </c>
      <c r="F63" s="106"/>
      <c r="G63" s="106">
        <f t="shared" si="7"/>
        <v>16200</v>
      </c>
      <c r="J63" s="455" t="s">
        <v>416</v>
      </c>
      <c r="K63" s="456"/>
      <c r="L63" s="106"/>
      <c r="M63" s="106">
        <f>120*M66/120</f>
        <v>150</v>
      </c>
      <c r="N63" s="106"/>
      <c r="O63" s="106">
        <f t="shared" si="8"/>
        <v>15000</v>
      </c>
      <c r="Q63" s="462"/>
      <c r="R63" s="462"/>
      <c r="S63" s="462"/>
      <c r="T63" s="462"/>
      <c r="U63" s="462"/>
      <c r="V63" s="462"/>
      <c r="W63" s="462"/>
      <c r="X63" s="462"/>
      <c r="Y63" s="459" t="s">
        <v>181</v>
      </c>
      <c r="Z63" s="459"/>
      <c r="AA63" s="459"/>
      <c r="AB63" s="459"/>
      <c r="AC63" s="459"/>
      <c r="AD63" s="459"/>
      <c r="AE63" s="459"/>
      <c r="AF63" s="459"/>
      <c r="AH63" s="455" t="s">
        <v>660</v>
      </c>
      <c r="AI63" s="456"/>
      <c r="AJ63" s="106"/>
      <c r="AK63" s="106">
        <f>50*AK65/80</f>
        <v>93.75</v>
      </c>
      <c r="AL63" s="106"/>
      <c r="AM63" s="106">
        <f t="shared" si="10"/>
        <v>9375</v>
      </c>
    </row>
    <row r="64" spans="1:40" ht="18.95" customHeight="1" x14ac:dyDescent="0.2">
      <c r="B64" s="455" t="s">
        <v>674</v>
      </c>
      <c r="C64" s="456"/>
      <c r="D64" s="106"/>
      <c r="E64" s="106">
        <v>150</v>
      </c>
      <c r="F64" s="106"/>
      <c r="G64" s="106">
        <f t="shared" si="7"/>
        <v>15000</v>
      </c>
      <c r="J64" s="455" t="s">
        <v>658</v>
      </c>
      <c r="K64" s="456"/>
      <c r="L64" s="106"/>
      <c r="M64" s="106">
        <f>100*M66/120</f>
        <v>125</v>
      </c>
      <c r="N64" s="106"/>
      <c r="O64" s="106">
        <f t="shared" si="8"/>
        <v>12500</v>
      </c>
      <c r="Q64" s="247"/>
      <c r="R64" s="247"/>
      <c r="S64" s="247"/>
      <c r="T64" s="247"/>
      <c r="U64" s="247"/>
      <c r="V64" s="247"/>
      <c r="W64" s="247"/>
      <c r="X64" s="247"/>
      <c r="Y64" s="158" t="s">
        <v>182</v>
      </c>
      <c r="Z64" s="158" t="s">
        <v>106</v>
      </c>
      <c r="AA64" s="115" t="s">
        <v>107</v>
      </c>
      <c r="AB64" s="116" t="s">
        <v>187</v>
      </c>
      <c r="AC64" s="158" t="s">
        <v>183</v>
      </c>
      <c r="AD64" s="158" t="s">
        <v>184</v>
      </c>
      <c r="AE64" s="158" t="s">
        <v>185</v>
      </c>
      <c r="AF64" s="158" t="s">
        <v>186</v>
      </c>
      <c r="AH64" s="455" t="s">
        <v>661</v>
      </c>
      <c r="AI64" s="456"/>
      <c r="AJ64" s="106"/>
      <c r="AK64" s="106">
        <f>30*AK65/80</f>
        <v>56.25</v>
      </c>
      <c r="AL64" s="106"/>
      <c r="AM64" s="106">
        <f t="shared" si="10"/>
        <v>5625</v>
      </c>
    </row>
    <row r="65" spans="1:40" ht="18.95" customHeight="1" x14ac:dyDescent="0.2">
      <c r="B65" s="455" t="s">
        <v>653</v>
      </c>
      <c r="C65" s="456"/>
      <c r="D65" s="106">
        <v>20</v>
      </c>
      <c r="E65" s="106">
        <v>20</v>
      </c>
      <c r="F65" s="106">
        <f t="shared" si="12"/>
        <v>2000</v>
      </c>
      <c r="G65" s="106">
        <f t="shared" si="7"/>
        <v>2000</v>
      </c>
      <c r="J65" s="455" t="s">
        <v>653</v>
      </c>
      <c r="K65" s="456"/>
      <c r="L65" s="106">
        <f>20*M66/120</f>
        <v>25</v>
      </c>
      <c r="M65" s="106">
        <f>20*M66/120</f>
        <v>25</v>
      </c>
      <c r="N65" s="106">
        <f t="shared" si="11"/>
        <v>2500</v>
      </c>
      <c r="O65" s="106">
        <f t="shared" si="8"/>
        <v>2500</v>
      </c>
      <c r="Q65" s="454" t="s">
        <v>232</v>
      </c>
      <c r="R65" s="454"/>
      <c r="S65" s="454"/>
      <c r="T65" s="247"/>
      <c r="U65" s="247"/>
      <c r="V65" s="247"/>
      <c r="W65" s="247"/>
      <c r="X65" s="247"/>
      <c r="Y65" s="41">
        <f>каши!E23</f>
        <v>13.939655172413794</v>
      </c>
      <c r="Z65" s="41">
        <f>каши!F23</f>
        <v>24.827586206896552</v>
      </c>
      <c r="AA65" s="41">
        <f>каши!G23</f>
        <v>2.6379310344827585</v>
      </c>
      <c r="AB65" s="41">
        <f>каши!H23</f>
        <v>289.65517241379308</v>
      </c>
      <c r="AC65" s="41">
        <f>каши!M23</f>
        <v>103.08620689655173</v>
      </c>
      <c r="AD65" s="41">
        <f>каши!O23</f>
        <v>16.137931034482758</v>
      </c>
      <c r="AE65" s="41">
        <f>каши!P23</f>
        <v>2.6379310344827585</v>
      </c>
      <c r="AF65" s="41">
        <f>каши!J23</f>
        <v>0.25862068965517243</v>
      </c>
      <c r="AH65" s="120" t="s">
        <v>180</v>
      </c>
      <c r="AI65" s="121"/>
      <c r="AJ65" s="118"/>
      <c r="AK65" s="106">
        <f>каши!B25</f>
        <v>150</v>
      </c>
      <c r="AL65" s="106"/>
      <c r="AM65" s="106">
        <f t="shared" si="10"/>
        <v>15000</v>
      </c>
    </row>
    <row r="66" spans="1:40" ht="18.95" customHeight="1" x14ac:dyDescent="0.2">
      <c r="B66" s="457" t="s">
        <v>180</v>
      </c>
      <c r="C66" s="458"/>
      <c r="D66" s="118"/>
      <c r="E66" s="106">
        <f>каши!B17</f>
        <v>150</v>
      </c>
      <c r="F66" s="106"/>
      <c r="G66" s="106">
        <f t="shared" si="7"/>
        <v>15000</v>
      </c>
      <c r="J66" s="457" t="s">
        <v>180</v>
      </c>
      <c r="K66" s="458"/>
      <c r="L66" s="118"/>
      <c r="M66" s="106">
        <f>каши!B19</f>
        <v>150</v>
      </c>
      <c r="N66" s="106"/>
      <c r="O66" s="106">
        <f t="shared" si="8"/>
        <v>15000</v>
      </c>
    </row>
    <row r="67" spans="1:40" ht="18.95" customHeight="1" x14ac:dyDescent="0.2">
      <c r="Y67" s="462" t="s">
        <v>666</v>
      </c>
      <c r="Z67" s="462"/>
      <c r="AA67" s="462"/>
      <c r="AB67" s="462"/>
      <c r="AC67" s="462"/>
      <c r="AD67" s="462"/>
      <c r="AE67" s="462"/>
      <c r="AF67" s="462"/>
      <c r="AG67" s="459" t="s">
        <v>181</v>
      </c>
      <c r="AH67" s="459"/>
      <c r="AI67" s="459"/>
      <c r="AJ67" s="459"/>
      <c r="AK67" s="459"/>
      <c r="AL67" s="459"/>
      <c r="AM67" s="459"/>
      <c r="AN67" s="459"/>
    </row>
    <row r="68" spans="1:40" ht="18.95" customHeight="1" x14ac:dyDescent="0.2">
      <c r="A68" s="459" t="s">
        <v>181</v>
      </c>
      <c r="B68" s="459"/>
      <c r="C68" s="459"/>
      <c r="D68" s="459"/>
      <c r="E68" s="459"/>
      <c r="F68" s="459"/>
      <c r="G68" s="459"/>
      <c r="H68" s="459"/>
      <c r="I68" s="459" t="s">
        <v>181</v>
      </c>
      <c r="J68" s="459"/>
      <c r="K68" s="459"/>
      <c r="L68" s="459"/>
      <c r="M68" s="459"/>
      <c r="N68" s="459"/>
      <c r="O68" s="459"/>
      <c r="P68" s="459"/>
      <c r="Y68" s="462"/>
      <c r="Z68" s="462"/>
      <c r="AA68" s="462"/>
      <c r="AB68" s="462"/>
      <c r="AC68" s="462"/>
      <c r="AD68" s="462"/>
      <c r="AE68" s="462"/>
      <c r="AF68" s="462"/>
      <c r="AG68" s="106" t="s">
        <v>182</v>
      </c>
      <c r="AH68" s="158" t="s">
        <v>106</v>
      </c>
      <c r="AI68" s="115" t="s">
        <v>107</v>
      </c>
      <c r="AJ68" s="116" t="s">
        <v>187</v>
      </c>
      <c r="AK68" s="158" t="s">
        <v>183</v>
      </c>
      <c r="AL68" s="158" t="s">
        <v>184</v>
      </c>
      <c r="AM68" s="158" t="s">
        <v>185</v>
      </c>
      <c r="AN68" s="189" t="s">
        <v>790</v>
      </c>
    </row>
    <row r="69" spans="1:40" ht="18.95" customHeight="1" x14ac:dyDescent="0.2">
      <c r="A69" s="106" t="s">
        <v>182</v>
      </c>
      <c r="B69" s="158" t="s">
        <v>106</v>
      </c>
      <c r="C69" s="115" t="s">
        <v>107</v>
      </c>
      <c r="D69" s="116" t="s">
        <v>187</v>
      </c>
      <c r="E69" s="158" t="s">
        <v>183</v>
      </c>
      <c r="F69" s="158" t="s">
        <v>184</v>
      </c>
      <c r="G69" s="158" t="s">
        <v>185</v>
      </c>
      <c r="H69" s="160" t="s">
        <v>186</v>
      </c>
      <c r="I69" s="106" t="s">
        <v>182</v>
      </c>
      <c r="J69" s="158" t="s">
        <v>106</v>
      </c>
      <c r="K69" s="115" t="s">
        <v>107</v>
      </c>
      <c r="L69" s="116" t="s">
        <v>187</v>
      </c>
      <c r="M69" s="158" t="s">
        <v>183</v>
      </c>
      <c r="N69" s="158" t="s">
        <v>184</v>
      </c>
      <c r="O69" s="158" t="s">
        <v>185</v>
      </c>
      <c r="P69" s="189" t="s">
        <v>186</v>
      </c>
      <c r="Y69" s="119"/>
      <c r="Z69" s="119"/>
      <c r="AA69" s="119"/>
      <c r="AB69" s="119"/>
      <c r="AC69" s="119"/>
      <c r="AD69" s="119"/>
      <c r="AE69" s="119"/>
      <c r="AF69" s="119"/>
      <c r="AG69" s="41">
        <f>каши!E25</f>
        <v>17.925000000000001</v>
      </c>
      <c r="AH69" s="41">
        <f>каши!F25</f>
        <v>29.422499999999996</v>
      </c>
      <c r="AI69" s="41">
        <f>каши!G25</f>
        <v>2.5499999999999998</v>
      </c>
      <c r="AJ69" s="41">
        <f>каши!H25</f>
        <v>347.4975</v>
      </c>
      <c r="AK69" s="41">
        <f>каши!M25</f>
        <v>261.5025</v>
      </c>
      <c r="AL69" s="41">
        <f>каши!O25</f>
        <v>21.824999999999999</v>
      </c>
      <c r="AM69" s="41">
        <f>каши!P25</f>
        <v>2.7524999999999999</v>
      </c>
      <c r="AN69" s="41">
        <f>каши!J25</f>
        <v>0.32250000000000001</v>
      </c>
    </row>
    <row r="70" spans="1:40" ht="18.95" customHeight="1" x14ac:dyDescent="0.2">
      <c r="A70" s="41">
        <f>каши!E17</f>
        <v>8.6374999999999993</v>
      </c>
      <c r="B70" s="41">
        <f>каши!F17</f>
        <v>6.6749999999999998</v>
      </c>
      <c r="C70" s="41">
        <f>каши!G17</f>
        <v>49.412500000000001</v>
      </c>
      <c r="D70" s="41">
        <f>каши!H17</f>
        <v>295</v>
      </c>
      <c r="E70" s="41">
        <f>каши!M17</f>
        <v>124.9</v>
      </c>
      <c r="F70" s="41">
        <f>каши!O17</f>
        <v>31.637499999999999</v>
      </c>
      <c r="G70" s="41">
        <f>каши!P17</f>
        <v>0.76249999999999996</v>
      </c>
      <c r="H70" s="41">
        <f>каши!J17</f>
        <v>0.3</v>
      </c>
      <c r="I70" s="41">
        <f>каши!E19</f>
        <v>6.7374999999999998</v>
      </c>
      <c r="J70" s="41">
        <f>каши!F19</f>
        <v>8.6374999999999993</v>
      </c>
      <c r="K70" s="41">
        <f>каши!G19</f>
        <v>49.662499999999994</v>
      </c>
      <c r="L70" s="41">
        <f>каши!H19</f>
        <v>303.75</v>
      </c>
      <c r="M70" s="41">
        <f>каши!M19</f>
        <v>136.80000000000001</v>
      </c>
      <c r="N70" s="41">
        <f>каши!O19</f>
        <v>31.95</v>
      </c>
      <c r="O70" s="41">
        <f>каши!P19</f>
        <v>0.85000000000000009</v>
      </c>
      <c r="P70" s="41">
        <f>каши!J19</f>
        <v>0.26250000000000001</v>
      </c>
      <c r="Y70" s="454" t="s">
        <v>232</v>
      </c>
      <c r="Z70" s="454"/>
      <c r="AA70" s="454"/>
      <c r="AB70" s="119"/>
      <c r="AC70" s="119"/>
      <c r="AD70" s="119"/>
      <c r="AE70" s="119"/>
      <c r="AF70" s="119"/>
    </row>
    <row r="71" spans="1:40" ht="18.95" customHeight="1" x14ac:dyDescent="0.2">
      <c r="Y71" s="119"/>
      <c r="Z71" s="119"/>
      <c r="AA71" s="119"/>
      <c r="AB71" s="119"/>
      <c r="AC71" s="119"/>
      <c r="AD71" s="119"/>
      <c r="AE71" s="119"/>
      <c r="AF71" s="119"/>
      <c r="AG71" s="462" t="s">
        <v>662</v>
      </c>
      <c r="AH71" s="462"/>
      <c r="AI71" s="462"/>
      <c r="AJ71" s="462"/>
      <c r="AK71" s="462"/>
      <c r="AL71" s="462"/>
      <c r="AM71" s="462"/>
      <c r="AN71" s="462"/>
    </row>
    <row r="72" spans="1:40" ht="18.95" customHeight="1" x14ac:dyDescent="0.2">
      <c r="A72" s="487" t="s">
        <v>676</v>
      </c>
      <c r="B72" s="487"/>
      <c r="C72" s="487"/>
      <c r="D72" s="487"/>
      <c r="E72" s="487"/>
      <c r="F72" s="487"/>
      <c r="G72" s="487"/>
      <c r="H72" s="487"/>
      <c r="I72" s="487" t="s">
        <v>673</v>
      </c>
      <c r="J72" s="487"/>
      <c r="K72" s="487"/>
      <c r="L72" s="487"/>
      <c r="M72" s="487"/>
      <c r="N72" s="487"/>
      <c r="O72" s="487"/>
      <c r="P72" s="487"/>
      <c r="Y72" s="142"/>
      <c r="Z72" s="142"/>
      <c r="AA72" s="142"/>
      <c r="AB72" s="142"/>
      <c r="AC72" s="142"/>
      <c r="AD72" s="142"/>
      <c r="AE72" s="142"/>
      <c r="AF72" s="142"/>
      <c r="AG72" s="462"/>
      <c r="AH72" s="462"/>
      <c r="AI72" s="462"/>
      <c r="AJ72" s="462"/>
      <c r="AK72" s="462"/>
      <c r="AL72" s="462"/>
      <c r="AM72" s="462"/>
      <c r="AN72" s="462"/>
    </row>
    <row r="73" spans="1:40" ht="18.95" customHeight="1" x14ac:dyDescent="0.2">
      <c r="A73" s="487"/>
      <c r="B73" s="487"/>
      <c r="C73" s="487"/>
      <c r="D73" s="487"/>
      <c r="E73" s="487"/>
      <c r="F73" s="487"/>
      <c r="G73" s="487"/>
      <c r="H73" s="487"/>
      <c r="I73" s="487"/>
      <c r="J73" s="487"/>
      <c r="K73" s="487"/>
      <c r="L73" s="487"/>
      <c r="M73" s="487"/>
      <c r="N73" s="487"/>
      <c r="O73" s="487"/>
      <c r="P73" s="487"/>
      <c r="AG73" s="462"/>
      <c r="AH73" s="462"/>
      <c r="AI73" s="462"/>
      <c r="AJ73" s="462"/>
      <c r="AK73" s="462"/>
      <c r="AL73" s="462"/>
      <c r="AM73" s="462"/>
      <c r="AN73" s="462"/>
    </row>
    <row r="74" spans="1:40" ht="18.95" customHeight="1" x14ac:dyDescent="0.2">
      <c r="A74" s="487"/>
      <c r="B74" s="487"/>
      <c r="C74" s="487"/>
      <c r="D74" s="487"/>
      <c r="E74" s="487"/>
      <c r="F74" s="487"/>
      <c r="G74" s="487"/>
      <c r="H74" s="487"/>
      <c r="I74" s="487"/>
      <c r="J74" s="487"/>
      <c r="K74" s="487"/>
      <c r="L74" s="487"/>
      <c r="M74" s="487"/>
      <c r="N74" s="487"/>
      <c r="O74" s="487"/>
      <c r="P74" s="487"/>
      <c r="AG74" s="462"/>
      <c r="AH74" s="462"/>
      <c r="AI74" s="462"/>
      <c r="AJ74" s="462"/>
      <c r="AK74" s="462"/>
      <c r="AL74" s="462"/>
      <c r="AM74" s="462"/>
      <c r="AN74" s="462"/>
    </row>
    <row r="75" spans="1:40" ht="18.95" customHeight="1" x14ac:dyDescent="0.2">
      <c r="A75" s="487"/>
      <c r="B75" s="487"/>
      <c r="C75" s="487"/>
      <c r="D75" s="487"/>
      <c r="E75" s="487"/>
      <c r="F75" s="487"/>
      <c r="G75" s="487"/>
      <c r="H75" s="487"/>
      <c r="I75" s="487"/>
      <c r="J75" s="487"/>
      <c r="K75" s="487"/>
      <c r="L75" s="487"/>
      <c r="M75" s="487"/>
      <c r="N75" s="487"/>
      <c r="O75" s="487"/>
      <c r="P75" s="487"/>
      <c r="AG75" s="119"/>
      <c r="AH75" s="119"/>
      <c r="AI75" s="119"/>
      <c r="AJ75" s="119"/>
      <c r="AK75" s="119"/>
      <c r="AL75" s="119"/>
      <c r="AM75" s="119"/>
      <c r="AN75" s="119"/>
    </row>
    <row r="76" spans="1:40" ht="18.95" customHeight="1" x14ac:dyDescent="0.2">
      <c r="A76" s="119"/>
      <c r="B76" s="119"/>
      <c r="C76" s="119"/>
      <c r="D76" s="119"/>
      <c r="E76" s="119"/>
      <c r="F76" s="119"/>
      <c r="G76" s="119"/>
      <c r="H76" s="119"/>
      <c r="I76" s="119"/>
      <c r="J76" s="119"/>
      <c r="K76" s="119"/>
      <c r="L76" s="119"/>
      <c r="M76" s="119"/>
      <c r="N76" s="119"/>
      <c r="O76" s="119"/>
      <c r="P76" s="119"/>
      <c r="AG76" s="454" t="s">
        <v>232</v>
      </c>
      <c r="AH76" s="454"/>
      <c r="AI76" s="454"/>
      <c r="AJ76" s="119"/>
      <c r="AK76" s="119"/>
      <c r="AL76" s="119"/>
      <c r="AM76" s="119"/>
      <c r="AN76" s="119"/>
    </row>
    <row r="77" spans="1:40" ht="18.95" customHeight="1" x14ac:dyDescent="0.2">
      <c r="A77" s="454" t="s">
        <v>232</v>
      </c>
      <c r="B77" s="454"/>
      <c r="C77" s="454"/>
      <c r="D77" s="119"/>
      <c r="E77" s="119"/>
      <c r="F77" s="119"/>
      <c r="G77" s="119"/>
      <c r="H77" s="119"/>
      <c r="I77" s="454" t="s">
        <v>232</v>
      </c>
      <c r="J77" s="454"/>
      <c r="K77" s="454"/>
      <c r="L77" s="119"/>
      <c r="M77" s="119"/>
      <c r="N77" s="119"/>
      <c r="O77" s="119"/>
      <c r="P77" s="119"/>
      <c r="AG77" s="454"/>
      <c r="AH77" s="454"/>
      <c r="AI77" s="454"/>
    </row>
    <row r="78" spans="1:40" ht="18.95" customHeight="1" x14ac:dyDescent="0.2">
      <c r="I78" s="125"/>
      <c r="AG78" s="454"/>
      <c r="AH78" s="454"/>
      <c r="AI78" s="454"/>
    </row>
    <row r="79" spans="1:40" ht="18.95" customHeight="1" x14ac:dyDescent="0.2">
      <c r="J79" s="125"/>
      <c r="K79" s="125"/>
    </row>
    <row r="80" spans="1:40" ht="18.95" customHeight="1" x14ac:dyDescent="0.2">
      <c r="I80" s="125"/>
    </row>
    <row r="81" spans="1:40" ht="18.95" customHeight="1" x14ac:dyDescent="0.2"/>
    <row r="82" spans="1:40" ht="18.95" customHeight="1" x14ac:dyDescent="0.2"/>
    <row r="83" spans="1:40" s="168" customFormat="1" x14ac:dyDescent="0.2">
      <c r="A83" s="472" t="s">
        <v>214</v>
      </c>
      <c r="B83" s="472"/>
      <c r="F83" s="472" t="s">
        <v>215</v>
      </c>
      <c r="G83" s="472"/>
      <c r="H83" s="472"/>
      <c r="I83" s="472" t="s">
        <v>214</v>
      </c>
      <c r="J83" s="472"/>
      <c r="N83" s="472" t="s">
        <v>215</v>
      </c>
      <c r="O83" s="472"/>
      <c r="P83" s="472"/>
      <c r="Q83" s="472" t="s">
        <v>214</v>
      </c>
      <c r="R83" s="472"/>
      <c r="V83" s="472" t="s">
        <v>215</v>
      </c>
      <c r="W83" s="472"/>
      <c r="X83" s="472"/>
      <c r="Y83" s="472" t="s">
        <v>214</v>
      </c>
      <c r="Z83" s="472"/>
      <c r="AD83" s="472" t="s">
        <v>215</v>
      </c>
      <c r="AE83" s="472"/>
      <c r="AF83" s="472"/>
      <c r="AG83" s="472" t="s">
        <v>214</v>
      </c>
      <c r="AH83" s="472"/>
      <c r="AL83" s="472" t="s">
        <v>215</v>
      </c>
      <c r="AM83" s="472"/>
      <c r="AN83" s="472"/>
    </row>
    <row r="84" spans="1:40" x14ac:dyDescent="0.2">
      <c r="E84" s="454" t="s">
        <v>216</v>
      </c>
      <c r="F84" s="454"/>
      <c r="G84" s="454"/>
      <c r="H84" s="454"/>
      <c r="M84" s="454" t="s">
        <v>216</v>
      </c>
      <c r="N84" s="454"/>
      <c r="O84" s="454"/>
      <c r="P84" s="454"/>
      <c r="U84" s="454" t="s">
        <v>216</v>
      </c>
      <c r="V84" s="454"/>
      <c r="W84" s="454"/>
      <c r="X84" s="454"/>
      <c r="AC84" s="454" t="s">
        <v>216</v>
      </c>
      <c r="AD84" s="454"/>
      <c r="AE84" s="454"/>
      <c r="AF84" s="454"/>
      <c r="AK84" s="454" t="s">
        <v>216</v>
      </c>
      <c r="AL84" s="454"/>
      <c r="AM84" s="454"/>
      <c r="AN84" s="454"/>
    </row>
    <row r="85" spans="1:40" x14ac:dyDescent="0.2">
      <c r="E85" s="161"/>
      <c r="F85" s="161"/>
      <c r="G85" s="161"/>
      <c r="H85" s="161"/>
      <c r="M85" s="161"/>
      <c r="N85" s="161"/>
      <c r="O85" s="161"/>
      <c r="P85" s="161"/>
      <c r="U85" s="161"/>
      <c r="V85" s="161"/>
      <c r="W85" s="161"/>
      <c r="X85" s="161"/>
      <c r="AC85" s="161"/>
      <c r="AD85" s="161"/>
      <c r="AE85" s="161"/>
      <c r="AF85" s="161"/>
      <c r="AK85" s="161"/>
      <c r="AL85" s="161"/>
      <c r="AM85" s="161"/>
      <c r="AN85" s="161"/>
    </row>
    <row r="86" spans="1:40" ht="18.95" customHeight="1" x14ac:dyDescent="0.2">
      <c r="A86" s="414" t="s">
        <v>595</v>
      </c>
      <c r="B86" s="414"/>
      <c r="C86" s="414"/>
      <c r="D86" s="414"/>
      <c r="E86" s="414"/>
      <c r="F86" s="414"/>
      <c r="G86" s="414"/>
      <c r="H86" s="414"/>
      <c r="I86" s="414" t="s">
        <v>596</v>
      </c>
      <c r="J86" s="414"/>
      <c r="K86" s="414"/>
      <c r="L86" s="414"/>
      <c r="M86" s="414"/>
      <c r="N86" s="414"/>
      <c r="O86" s="414"/>
      <c r="P86" s="414"/>
      <c r="Q86" s="414" t="s">
        <v>597</v>
      </c>
      <c r="R86" s="414"/>
      <c r="S86" s="414"/>
      <c r="T86" s="414"/>
      <c r="U86" s="414"/>
      <c r="V86" s="414"/>
      <c r="W86" s="414"/>
      <c r="X86" s="414"/>
      <c r="Y86" s="414" t="s">
        <v>598</v>
      </c>
      <c r="Z86" s="414"/>
      <c r="AA86" s="414"/>
      <c r="AB86" s="414"/>
      <c r="AC86" s="414"/>
      <c r="AD86" s="414"/>
      <c r="AE86" s="414"/>
      <c r="AF86" s="414"/>
      <c r="AG86" s="414" t="s">
        <v>599</v>
      </c>
      <c r="AH86" s="414"/>
      <c r="AI86" s="414"/>
      <c r="AJ86" s="414"/>
      <c r="AK86" s="414"/>
      <c r="AL86" s="414"/>
      <c r="AM86" s="414"/>
      <c r="AN86" s="414"/>
    </row>
    <row r="87" spans="1:40" ht="18.95" customHeight="1" x14ac:dyDescent="0.2">
      <c r="A87" s="473" t="s">
        <v>928</v>
      </c>
      <c r="B87" s="465"/>
      <c r="C87" s="465"/>
      <c r="D87" s="465"/>
      <c r="E87" s="465"/>
      <c r="F87" s="465"/>
      <c r="G87" s="465"/>
      <c r="H87" s="465"/>
      <c r="I87" s="473" t="s">
        <v>617</v>
      </c>
      <c r="J87" s="465"/>
      <c r="K87" s="465"/>
      <c r="L87" s="465"/>
      <c r="M87" s="465"/>
      <c r="N87" s="465"/>
      <c r="O87" s="465"/>
      <c r="P87" s="465"/>
      <c r="Q87" s="473" t="s">
        <v>620</v>
      </c>
      <c r="R87" s="465"/>
      <c r="S87" s="465"/>
      <c r="T87" s="465"/>
      <c r="U87" s="465"/>
      <c r="V87" s="465"/>
      <c r="W87" s="465"/>
      <c r="X87" s="465"/>
      <c r="Y87" s="473" t="s">
        <v>621</v>
      </c>
      <c r="Z87" s="465"/>
      <c r="AA87" s="465"/>
      <c r="AB87" s="465"/>
      <c r="AC87" s="465"/>
      <c r="AD87" s="465"/>
      <c r="AE87" s="465"/>
      <c r="AF87" s="465"/>
      <c r="AG87" s="473" t="s">
        <v>623</v>
      </c>
      <c r="AH87" s="465"/>
      <c r="AI87" s="465"/>
      <c r="AJ87" s="465"/>
      <c r="AK87" s="465"/>
      <c r="AL87" s="465"/>
      <c r="AM87" s="465"/>
      <c r="AN87" s="465"/>
    </row>
    <row r="88" spans="1:40" ht="18.95" customHeight="1" x14ac:dyDescent="0.2">
      <c r="A88" s="473" t="s">
        <v>615</v>
      </c>
      <c r="B88" s="473"/>
      <c r="C88" s="473"/>
      <c r="D88" s="473"/>
      <c r="E88" s="473"/>
      <c r="F88" s="473"/>
      <c r="G88" s="473"/>
      <c r="H88" s="473"/>
      <c r="I88" s="473" t="s">
        <v>616</v>
      </c>
      <c r="J88" s="473"/>
      <c r="K88" s="473"/>
      <c r="L88" s="473"/>
      <c r="M88" s="473"/>
      <c r="N88" s="473"/>
      <c r="O88" s="473"/>
      <c r="P88" s="473"/>
      <c r="Q88" s="473" t="s">
        <v>618</v>
      </c>
      <c r="R88" s="473"/>
      <c r="S88" s="473"/>
      <c r="T88" s="473"/>
      <c r="U88" s="473"/>
      <c r="V88" s="473"/>
      <c r="W88" s="473"/>
      <c r="X88" s="473"/>
      <c r="Y88" s="473" t="s">
        <v>619</v>
      </c>
      <c r="Z88" s="473"/>
      <c r="AA88" s="473"/>
      <c r="AB88" s="473"/>
      <c r="AC88" s="473"/>
      <c r="AD88" s="473"/>
      <c r="AE88" s="473"/>
      <c r="AF88" s="473"/>
      <c r="AG88" s="473" t="s">
        <v>622</v>
      </c>
      <c r="AH88" s="473"/>
      <c r="AI88" s="473"/>
      <c r="AJ88" s="473"/>
      <c r="AK88" s="473"/>
      <c r="AL88" s="473"/>
      <c r="AM88" s="473"/>
      <c r="AN88" s="473"/>
    </row>
    <row r="89" spans="1:40" ht="18.95" customHeight="1" x14ac:dyDescent="0.2">
      <c r="A89" s="465" t="s">
        <v>189</v>
      </c>
      <c r="B89" s="465"/>
      <c r="C89" s="465"/>
      <c r="D89" s="465"/>
      <c r="E89" s="465"/>
      <c r="F89" s="465"/>
      <c r="G89" s="465"/>
      <c r="H89" s="465"/>
      <c r="I89" s="465" t="s">
        <v>189</v>
      </c>
      <c r="J89" s="465"/>
      <c r="K89" s="465"/>
      <c r="L89" s="465"/>
      <c r="M89" s="465"/>
      <c r="N89" s="465"/>
      <c r="O89" s="465"/>
      <c r="P89" s="465"/>
      <c r="Q89" s="465" t="s">
        <v>189</v>
      </c>
      <c r="R89" s="465"/>
      <c r="S89" s="465"/>
      <c r="T89" s="465"/>
      <c r="U89" s="465"/>
      <c r="V89" s="465"/>
      <c r="W89" s="465"/>
      <c r="X89" s="465"/>
      <c r="Y89" s="465" t="s">
        <v>189</v>
      </c>
      <c r="Z89" s="465"/>
      <c r="AA89" s="465"/>
      <c r="AB89" s="465"/>
      <c r="AC89" s="465"/>
      <c r="AD89" s="465"/>
      <c r="AE89" s="465"/>
      <c r="AF89" s="465"/>
      <c r="AG89" s="465" t="s">
        <v>189</v>
      </c>
      <c r="AH89" s="465"/>
      <c r="AI89" s="465"/>
      <c r="AJ89" s="465"/>
      <c r="AK89" s="465"/>
      <c r="AL89" s="465"/>
      <c r="AM89" s="465"/>
      <c r="AN89" s="465"/>
    </row>
    <row r="90" spans="1:40" ht="18.95" customHeight="1" x14ac:dyDescent="0.2">
      <c r="A90" s="465" t="s">
        <v>190</v>
      </c>
      <c r="B90" s="465"/>
      <c r="C90" s="465"/>
      <c r="D90" s="465"/>
      <c r="E90" s="465"/>
      <c r="F90" s="465"/>
      <c r="G90" s="465"/>
      <c r="H90" s="465"/>
      <c r="I90" s="465" t="s">
        <v>190</v>
      </c>
      <c r="J90" s="465"/>
      <c r="K90" s="465"/>
      <c r="L90" s="465"/>
      <c r="M90" s="465"/>
      <c r="N90" s="465"/>
      <c r="O90" s="465"/>
      <c r="P90" s="465"/>
      <c r="Q90" s="465" t="s">
        <v>190</v>
      </c>
      <c r="R90" s="465"/>
      <c r="S90" s="465"/>
      <c r="T90" s="465"/>
      <c r="U90" s="465"/>
      <c r="V90" s="465"/>
      <c r="W90" s="465"/>
      <c r="X90" s="465"/>
      <c r="Y90" s="465" t="s">
        <v>190</v>
      </c>
      <c r="Z90" s="465"/>
      <c r="AA90" s="465"/>
      <c r="AB90" s="465"/>
      <c r="AC90" s="465"/>
      <c r="AD90" s="465"/>
      <c r="AE90" s="465"/>
      <c r="AF90" s="465"/>
      <c r="AG90" s="465" t="s">
        <v>190</v>
      </c>
      <c r="AH90" s="465"/>
      <c r="AI90" s="465"/>
      <c r="AJ90" s="465"/>
      <c r="AK90" s="465"/>
      <c r="AL90" s="465"/>
      <c r="AM90" s="465"/>
      <c r="AN90" s="465"/>
    </row>
    <row r="91" spans="1:40" ht="18.95" customHeight="1" x14ac:dyDescent="0.2">
      <c r="C91" s="159"/>
      <c r="K91" s="159"/>
      <c r="S91" s="159"/>
      <c r="AA91" s="159"/>
      <c r="AI91" s="159"/>
    </row>
    <row r="92" spans="1:40" ht="18.95" customHeight="1" x14ac:dyDescent="0.2">
      <c r="B92" s="466" t="s">
        <v>174</v>
      </c>
      <c r="C92" s="467"/>
      <c r="D92" s="412" t="s">
        <v>179</v>
      </c>
      <c r="E92" s="412"/>
      <c r="F92" s="412"/>
      <c r="G92" s="412"/>
      <c r="J92" s="466" t="s">
        <v>174</v>
      </c>
      <c r="K92" s="467"/>
      <c r="L92" s="412" t="s">
        <v>179</v>
      </c>
      <c r="M92" s="412"/>
      <c r="N92" s="412"/>
      <c r="O92" s="412"/>
      <c r="R92" s="466" t="s">
        <v>174</v>
      </c>
      <c r="S92" s="467"/>
      <c r="T92" s="412" t="s">
        <v>179</v>
      </c>
      <c r="U92" s="412"/>
      <c r="V92" s="412"/>
      <c r="W92" s="412"/>
      <c r="Z92" s="466" t="s">
        <v>174</v>
      </c>
      <c r="AA92" s="467"/>
      <c r="AB92" s="412" t="s">
        <v>179</v>
      </c>
      <c r="AC92" s="412"/>
      <c r="AD92" s="412"/>
      <c r="AE92" s="412"/>
      <c r="AH92" s="466" t="s">
        <v>174</v>
      </c>
      <c r="AI92" s="467"/>
      <c r="AJ92" s="412" t="s">
        <v>179</v>
      </c>
      <c r="AK92" s="412"/>
      <c r="AL92" s="412"/>
      <c r="AM92" s="412"/>
    </row>
    <row r="93" spans="1:40" ht="18.95" customHeight="1" x14ac:dyDescent="0.2">
      <c r="B93" s="468"/>
      <c r="C93" s="469"/>
      <c r="D93" s="412" t="s">
        <v>177</v>
      </c>
      <c r="E93" s="412"/>
      <c r="F93" s="412" t="s">
        <v>178</v>
      </c>
      <c r="G93" s="412"/>
      <c r="J93" s="468"/>
      <c r="K93" s="469"/>
      <c r="L93" s="412" t="s">
        <v>177</v>
      </c>
      <c r="M93" s="412"/>
      <c r="N93" s="412" t="s">
        <v>178</v>
      </c>
      <c r="O93" s="412"/>
      <c r="R93" s="468"/>
      <c r="S93" s="469"/>
      <c r="T93" s="412" t="s">
        <v>177</v>
      </c>
      <c r="U93" s="412"/>
      <c r="V93" s="412" t="s">
        <v>178</v>
      </c>
      <c r="W93" s="412"/>
      <c r="Z93" s="468"/>
      <c r="AA93" s="469"/>
      <c r="AB93" s="412" t="s">
        <v>177</v>
      </c>
      <c r="AC93" s="412"/>
      <c r="AD93" s="412" t="s">
        <v>178</v>
      </c>
      <c r="AE93" s="412"/>
      <c r="AH93" s="468"/>
      <c r="AI93" s="469"/>
      <c r="AJ93" s="412" t="s">
        <v>177</v>
      </c>
      <c r="AK93" s="412"/>
      <c r="AL93" s="412" t="s">
        <v>178</v>
      </c>
      <c r="AM93" s="412"/>
    </row>
    <row r="94" spans="1:40" ht="18.95" customHeight="1" x14ac:dyDescent="0.2">
      <c r="B94" s="470"/>
      <c r="C94" s="471"/>
      <c r="D94" s="158" t="s">
        <v>175</v>
      </c>
      <c r="E94" s="158" t="s">
        <v>176</v>
      </c>
      <c r="F94" s="158" t="s">
        <v>175</v>
      </c>
      <c r="G94" s="158" t="s">
        <v>176</v>
      </c>
      <c r="J94" s="470"/>
      <c r="K94" s="471"/>
      <c r="L94" s="158" t="s">
        <v>175</v>
      </c>
      <c r="M94" s="158" t="s">
        <v>176</v>
      </c>
      <c r="N94" s="158" t="s">
        <v>175</v>
      </c>
      <c r="O94" s="158" t="s">
        <v>176</v>
      </c>
      <c r="R94" s="470"/>
      <c r="S94" s="471"/>
      <c r="T94" s="158" t="s">
        <v>175</v>
      </c>
      <c r="U94" s="158" t="s">
        <v>176</v>
      </c>
      <c r="V94" s="158" t="s">
        <v>175</v>
      </c>
      <c r="W94" s="158" t="s">
        <v>176</v>
      </c>
      <c r="Z94" s="470"/>
      <c r="AA94" s="471"/>
      <c r="AB94" s="158" t="s">
        <v>175</v>
      </c>
      <c r="AC94" s="158" t="s">
        <v>176</v>
      </c>
      <c r="AD94" s="158" t="s">
        <v>175</v>
      </c>
      <c r="AE94" s="158" t="s">
        <v>176</v>
      </c>
      <c r="AH94" s="470"/>
      <c r="AI94" s="471"/>
      <c r="AJ94" s="158" t="s">
        <v>175</v>
      </c>
      <c r="AK94" s="158" t="s">
        <v>176</v>
      </c>
      <c r="AL94" s="158" t="s">
        <v>175</v>
      </c>
      <c r="AM94" s="158" t="s">
        <v>176</v>
      </c>
    </row>
    <row r="95" spans="1:40" ht="18.95" customHeight="1" x14ac:dyDescent="0.2">
      <c r="B95" s="455" t="s">
        <v>649</v>
      </c>
      <c r="C95" s="456"/>
      <c r="D95" s="41">
        <f>38.5*E106/50</f>
        <v>115.5</v>
      </c>
      <c r="E95" s="41">
        <f>38*E106/50</f>
        <v>114</v>
      </c>
      <c r="F95" s="41">
        <f>D95*100</f>
        <v>11550</v>
      </c>
      <c r="G95" s="41">
        <f>E95*100</f>
        <v>11400</v>
      </c>
      <c r="J95" s="455" t="s">
        <v>649</v>
      </c>
      <c r="K95" s="456"/>
      <c r="L95" s="41">
        <v>122.2</v>
      </c>
      <c r="M95" s="41">
        <v>119.6</v>
      </c>
      <c r="N95" s="41">
        <f>L95*100</f>
        <v>12220</v>
      </c>
      <c r="O95" s="41">
        <f>M95*100</f>
        <v>11960</v>
      </c>
      <c r="R95" s="455" t="s">
        <v>472</v>
      </c>
      <c r="S95" s="456"/>
      <c r="T95" s="106">
        <f>360*каши!B31/1000</f>
        <v>54</v>
      </c>
      <c r="U95" s="106">
        <f>360*каши!B31/1000</f>
        <v>54</v>
      </c>
      <c r="V95" s="106">
        <f>T95*100</f>
        <v>5400</v>
      </c>
      <c r="W95" s="106">
        <f>U95*100</f>
        <v>5400</v>
      </c>
      <c r="Z95" s="455" t="s">
        <v>249</v>
      </c>
      <c r="AA95" s="456"/>
      <c r="AB95" s="106">
        <f>1670*каши!B33/1000</f>
        <v>250.5</v>
      </c>
      <c r="AC95" s="106">
        <f>1000*каши!B33/1000</f>
        <v>150</v>
      </c>
      <c r="AD95" s="106">
        <f>AB95*100</f>
        <v>25050</v>
      </c>
      <c r="AE95" s="106">
        <f>AC95*100</f>
        <v>15000</v>
      </c>
      <c r="AH95" s="455" t="s">
        <v>249</v>
      </c>
      <c r="AI95" s="456"/>
      <c r="AJ95" s="106">
        <f>1427*каши!B35/1000</f>
        <v>214.05</v>
      </c>
      <c r="AK95" s="106">
        <f>855*каши!B35/1000</f>
        <v>128.25</v>
      </c>
      <c r="AL95" s="106">
        <f>AJ95*100</f>
        <v>21405</v>
      </c>
      <c r="AM95" s="106">
        <f>AK95*100</f>
        <v>12825</v>
      </c>
    </row>
    <row r="96" spans="1:40" ht="18.95" customHeight="1" x14ac:dyDescent="0.2">
      <c r="B96" s="455" t="s">
        <v>650</v>
      </c>
      <c r="C96" s="456"/>
      <c r="D96" s="41">
        <f>4*E106/50</f>
        <v>12</v>
      </c>
      <c r="E96" s="41">
        <f>4*E106/50</f>
        <v>12</v>
      </c>
      <c r="F96" s="41">
        <f>D96*100</f>
        <v>1200</v>
      </c>
      <c r="G96" s="41">
        <f t="shared" ref="G96:G106" si="13">E96*100</f>
        <v>1200</v>
      </c>
      <c r="J96" s="455" t="s">
        <v>650</v>
      </c>
      <c r="K96" s="456"/>
      <c r="L96" s="41">
        <v>7.8</v>
      </c>
      <c r="M96" s="41">
        <v>7.8</v>
      </c>
      <c r="N96" s="41">
        <f>L96*100</f>
        <v>780</v>
      </c>
      <c r="O96" s="41">
        <f t="shared" ref="O96:O105" si="14">M96*100</f>
        <v>780</v>
      </c>
      <c r="R96" s="455" t="s">
        <v>476</v>
      </c>
      <c r="S96" s="456"/>
      <c r="T96" s="106"/>
      <c r="U96" s="106">
        <f>28*U95/1000</f>
        <v>1.512</v>
      </c>
      <c r="V96" s="106"/>
      <c r="W96" s="106">
        <f>U96*100</f>
        <v>151.19999999999999</v>
      </c>
      <c r="Z96" s="455" t="s">
        <v>645</v>
      </c>
      <c r="AA96" s="456"/>
      <c r="AB96" s="106">
        <f>1290*каши!B33/1000</f>
        <v>193.5</v>
      </c>
      <c r="AC96" s="106">
        <f>1032*каши!B33/1000</f>
        <v>154.80000000000001</v>
      </c>
      <c r="AD96" s="106">
        <f>AB96*100</f>
        <v>19350</v>
      </c>
      <c r="AE96" s="106">
        <f>AC96*100</f>
        <v>15480.000000000002</v>
      </c>
      <c r="AH96" s="455" t="s">
        <v>971</v>
      </c>
      <c r="AI96" s="456"/>
      <c r="AJ96" s="106">
        <f>18*каши!B35/1000</f>
        <v>2.7</v>
      </c>
      <c r="AK96" s="106">
        <f>18*каши!B33/1000</f>
        <v>2.7</v>
      </c>
      <c r="AL96" s="106">
        <f>AJ96*100</f>
        <v>270</v>
      </c>
      <c r="AM96" s="106">
        <f>AK96*100</f>
        <v>270</v>
      </c>
    </row>
    <row r="97" spans="1:40" ht="18.95" customHeight="1" x14ac:dyDescent="0.2">
      <c r="B97" s="455" t="s">
        <v>297</v>
      </c>
      <c r="C97" s="456"/>
      <c r="D97" s="41">
        <f>4*E106/50</f>
        <v>12</v>
      </c>
      <c r="E97" s="41">
        <f>4*E106/50</f>
        <v>12</v>
      </c>
      <c r="F97" s="41">
        <f>D97*100</f>
        <v>1200</v>
      </c>
      <c r="G97" s="41">
        <f t="shared" si="13"/>
        <v>1200</v>
      </c>
      <c r="J97" s="455" t="s">
        <v>651</v>
      </c>
      <c r="K97" s="456"/>
      <c r="L97" s="41">
        <v>10.4</v>
      </c>
      <c r="M97" s="41">
        <v>10.4</v>
      </c>
      <c r="N97" s="41">
        <f>L97*100</f>
        <v>1040</v>
      </c>
      <c r="O97" s="41">
        <f t="shared" si="14"/>
        <v>1040</v>
      </c>
      <c r="R97" s="455" t="s">
        <v>191</v>
      </c>
      <c r="S97" s="456"/>
      <c r="T97" s="106">
        <f>45*каши!B31/1000</f>
        <v>6.75</v>
      </c>
      <c r="U97" s="106">
        <f>45*каши!B31/1000</f>
        <v>6.75</v>
      </c>
      <c r="V97" s="106">
        <f>T97*100</f>
        <v>675</v>
      </c>
      <c r="W97" s="106">
        <f>U97*100</f>
        <v>675</v>
      </c>
      <c r="Z97" s="455" t="s">
        <v>476</v>
      </c>
      <c r="AA97" s="456"/>
      <c r="AB97" s="106"/>
      <c r="AC97" s="106">
        <v>1.5</v>
      </c>
      <c r="AD97" s="106"/>
      <c r="AE97" s="106">
        <f>AC97*100</f>
        <v>150</v>
      </c>
      <c r="AH97" s="455" t="s">
        <v>476</v>
      </c>
      <c r="AI97" s="456"/>
      <c r="AJ97" s="106"/>
      <c r="AK97" s="106">
        <v>1.5</v>
      </c>
      <c r="AL97" s="106"/>
      <c r="AM97" s="106">
        <f>AK97*100</f>
        <v>150</v>
      </c>
    </row>
    <row r="98" spans="1:40" ht="18.95" customHeight="1" x14ac:dyDescent="0.2">
      <c r="B98" s="455" t="s">
        <v>287</v>
      </c>
      <c r="C98" s="456"/>
      <c r="D98" s="41" t="s">
        <v>991</v>
      </c>
      <c r="E98" s="41">
        <v>7.26</v>
      </c>
      <c r="F98" s="41" t="s">
        <v>885</v>
      </c>
      <c r="G98" s="41">
        <f t="shared" si="13"/>
        <v>726</v>
      </c>
      <c r="J98" s="455" t="s">
        <v>297</v>
      </c>
      <c r="K98" s="456"/>
      <c r="L98" s="41">
        <v>10.4</v>
      </c>
      <c r="M98" s="41">
        <v>10.4</v>
      </c>
      <c r="N98" s="41">
        <f>L98*100</f>
        <v>1040</v>
      </c>
      <c r="O98" s="41">
        <f t="shared" si="14"/>
        <v>1040</v>
      </c>
      <c r="R98" s="498" t="s">
        <v>180</v>
      </c>
      <c r="S98" s="499"/>
      <c r="T98" s="118"/>
      <c r="U98" s="106">
        <f>1000*каши!B31/1000</f>
        <v>150</v>
      </c>
      <c r="V98" s="106"/>
      <c r="W98" s="106">
        <f>U98*100</f>
        <v>15000</v>
      </c>
      <c r="Z98" s="488" t="s">
        <v>646</v>
      </c>
      <c r="AA98" s="489"/>
      <c r="AB98" s="106"/>
      <c r="AC98" s="106">
        <f>970*каши!B33/1000</f>
        <v>145.5</v>
      </c>
      <c r="AD98" s="106"/>
      <c r="AE98" s="106">
        <f>AC98*100</f>
        <v>14550</v>
      </c>
      <c r="AH98" s="484" t="s">
        <v>191</v>
      </c>
      <c r="AI98" s="485"/>
      <c r="AJ98" s="106">
        <f>35*каши!B35/1000</f>
        <v>5.25</v>
      </c>
      <c r="AK98" s="106">
        <f>35*каши!B35/1000</f>
        <v>5.25</v>
      </c>
      <c r="AL98" s="106">
        <f>AJ98*100</f>
        <v>525</v>
      </c>
      <c r="AM98" s="106">
        <f>AK98*100</f>
        <v>525</v>
      </c>
    </row>
    <row r="99" spans="1:40" ht="18.95" customHeight="1" x14ac:dyDescent="0.2">
      <c r="B99" s="488" t="s">
        <v>656</v>
      </c>
      <c r="C99" s="489"/>
      <c r="D99" s="41">
        <f>5.1*E106/50</f>
        <v>15.3</v>
      </c>
      <c r="E99" s="41">
        <f>5*E106/50</f>
        <v>15</v>
      </c>
      <c r="F99" s="41">
        <f>D99*100</f>
        <v>1530</v>
      </c>
      <c r="G99" s="41">
        <f t="shared" si="13"/>
        <v>1500</v>
      </c>
      <c r="J99" s="455" t="s">
        <v>287</v>
      </c>
      <c r="K99" s="456"/>
      <c r="L99" s="41" t="s">
        <v>991</v>
      </c>
      <c r="M99" s="41">
        <v>5.8</v>
      </c>
      <c r="N99" s="41" t="s">
        <v>1015</v>
      </c>
      <c r="O99" s="41">
        <v>581</v>
      </c>
      <c r="Z99" s="241" t="s">
        <v>191</v>
      </c>
      <c r="AA99" s="242"/>
      <c r="AB99" s="106">
        <f>35*каши!B33/1000</f>
        <v>5.25</v>
      </c>
      <c r="AC99" s="106">
        <f>35*каши!B33/1000</f>
        <v>5.25</v>
      </c>
      <c r="AD99" s="106">
        <f>AB99*100</f>
        <v>525</v>
      </c>
      <c r="AE99" s="106">
        <f>AC99*100</f>
        <v>525</v>
      </c>
      <c r="AH99" s="498" t="s">
        <v>180</v>
      </c>
      <c r="AI99" s="499"/>
      <c r="AJ99" s="118"/>
      <c r="AK99" s="106">
        <v>150</v>
      </c>
      <c r="AL99" s="106"/>
      <c r="AM99" s="106">
        <f>AK99*100</f>
        <v>15000</v>
      </c>
    </row>
    <row r="100" spans="1:40" ht="18.95" customHeight="1" x14ac:dyDescent="0.2">
      <c r="B100" s="455" t="s">
        <v>191</v>
      </c>
      <c r="C100" s="456"/>
      <c r="D100" s="41">
        <f>2*E106/50</f>
        <v>6</v>
      </c>
      <c r="E100" s="41">
        <f>2*E106/50</f>
        <v>6</v>
      </c>
      <c r="F100" s="41">
        <f t="shared" ref="F100:F105" si="15">D100*100</f>
        <v>600</v>
      </c>
      <c r="G100" s="41">
        <f t="shared" si="13"/>
        <v>600</v>
      </c>
      <c r="J100" s="455" t="s">
        <v>191</v>
      </c>
      <c r="K100" s="456"/>
      <c r="L100" s="41">
        <v>5.2</v>
      </c>
      <c r="M100" s="41">
        <v>5.2</v>
      </c>
      <c r="N100" s="41">
        <f>L100*100</f>
        <v>520</v>
      </c>
      <c r="O100" s="41">
        <f t="shared" si="14"/>
        <v>520</v>
      </c>
      <c r="Q100" s="459" t="s">
        <v>181</v>
      </c>
      <c r="R100" s="459"/>
      <c r="S100" s="459"/>
      <c r="T100" s="459"/>
      <c r="U100" s="459"/>
      <c r="V100" s="459"/>
      <c r="W100" s="459"/>
      <c r="X100" s="459"/>
      <c r="Z100" s="498" t="s">
        <v>180</v>
      </c>
      <c r="AA100" s="499"/>
      <c r="AB100" s="118"/>
      <c r="AC100" s="106">
        <f>каши!B33</f>
        <v>150</v>
      </c>
      <c r="AD100" s="106"/>
      <c r="AE100" s="106">
        <f>AC100*100</f>
        <v>15000</v>
      </c>
    </row>
    <row r="101" spans="1:40" ht="18.95" customHeight="1" x14ac:dyDescent="0.2">
      <c r="B101" s="455" t="s">
        <v>657</v>
      </c>
      <c r="C101" s="456"/>
      <c r="D101" s="41">
        <f>0.01*E106/50</f>
        <v>0.03</v>
      </c>
      <c r="E101" s="41">
        <f>0.01*E106/50</f>
        <v>0.03</v>
      </c>
      <c r="F101" s="41">
        <f t="shared" si="15"/>
        <v>3</v>
      </c>
      <c r="G101" s="41">
        <f t="shared" si="13"/>
        <v>3</v>
      </c>
      <c r="J101" s="455" t="s">
        <v>415</v>
      </c>
      <c r="K101" s="456"/>
      <c r="L101" s="41">
        <v>5.2</v>
      </c>
      <c r="M101" s="41">
        <v>5.2</v>
      </c>
      <c r="N101" s="41">
        <f>L101*100</f>
        <v>520</v>
      </c>
      <c r="O101" s="41">
        <f t="shared" si="14"/>
        <v>520</v>
      </c>
      <c r="Q101" s="236" t="s">
        <v>182</v>
      </c>
      <c r="R101" s="236" t="s">
        <v>106</v>
      </c>
      <c r="S101" s="237" t="s">
        <v>107</v>
      </c>
      <c r="T101" s="238" t="s">
        <v>187</v>
      </c>
      <c r="U101" s="236" t="s">
        <v>183</v>
      </c>
      <c r="V101" s="236" t="s">
        <v>184</v>
      </c>
      <c r="W101" s="236" t="s">
        <v>185</v>
      </c>
      <c r="X101" s="236" t="s">
        <v>186</v>
      </c>
      <c r="Z101" s="199"/>
      <c r="AA101" s="199"/>
      <c r="AB101" s="199"/>
      <c r="AC101" s="199"/>
      <c r="AD101" s="199"/>
      <c r="AE101" s="199"/>
      <c r="AF101" s="256"/>
      <c r="AG101" s="460" t="s">
        <v>181</v>
      </c>
      <c r="AH101" s="459"/>
      <c r="AI101" s="459"/>
      <c r="AJ101" s="459"/>
      <c r="AK101" s="459"/>
      <c r="AL101" s="459"/>
      <c r="AM101" s="459"/>
      <c r="AN101" s="459"/>
    </row>
    <row r="102" spans="1:40" ht="18.95" customHeight="1" x14ac:dyDescent="0.2">
      <c r="B102" s="455" t="s">
        <v>415</v>
      </c>
      <c r="C102" s="456"/>
      <c r="D102" s="41">
        <f>2*E106/50</f>
        <v>6</v>
      </c>
      <c r="E102" s="41">
        <f>2*E106/50</f>
        <v>6</v>
      </c>
      <c r="F102" s="41">
        <f t="shared" si="15"/>
        <v>600</v>
      </c>
      <c r="G102" s="41">
        <f t="shared" si="13"/>
        <v>600</v>
      </c>
      <c r="J102" s="455" t="s">
        <v>440</v>
      </c>
      <c r="K102" s="456"/>
      <c r="L102" s="41">
        <v>5.2</v>
      </c>
      <c r="M102" s="41">
        <v>5.2</v>
      </c>
      <c r="N102" s="41">
        <f>L102*100</f>
        <v>520</v>
      </c>
      <c r="O102" s="41">
        <f t="shared" si="14"/>
        <v>520</v>
      </c>
      <c r="Q102" s="41">
        <f>каши!E31</f>
        <v>3.6509999999999998</v>
      </c>
      <c r="R102" s="41">
        <f>каши!F31</f>
        <v>5.3745000000000003</v>
      </c>
      <c r="S102" s="41">
        <f>каши!G31</f>
        <v>36.683999999999997</v>
      </c>
      <c r="T102" s="41">
        <f>каши!H31</f>
        <v>209.7</v>
      </c>
      <c r="U102" s="41">
        <f>каши!M31</f>
        <v>1.365</v>
      </c>
      <c r="V102" s="41">
        <f>каши!O31</f>
        <v>16.335000000000001</v>
      </c>
      <c r="W102" s="41">
        <f>каши!P31</f>
        <v>0.52649999999999997</v>
      </c>
      <c r="X102" s="41">
        <f>каши!J31</f>
        <v>0</v>
      </c>
      <c r="Y102" s="460" t="s">
        <v>181</v>
      </c>
      <c r="Z102" s="459"/>
      <c r="AA102" s="459"/>
      <c r="AB102" s="459"/>
      <c r="AC102" s="459"/>
      <c r="AD102" s="459"/>
      <c r="AE102" s="459"/>
      <c r="AF102" s="461"/>
      <c r="AG102" s="236" t="s">
        <v>182</v>
      </c>
      <c r="AH102" s="236" t="s">
        <v>106</v>
      </c>
      <c r="AI102" s="237" t="s">
        <v>107</v>
      </c>
      <c r="AJ102" s="238" t="s">
        <v>187</v>
      </c>
      <c r="AK102" s="236" t="s">
        <v>183</v>
      </c>
      <c r="AL102" s="236" t="s">
        <v>184</v>
      </c>
      <c r="AM102" s="236" t="s">
        <v>185</v>
      </c>
      <c r="AN102" s="236" t="s">
        <v>186</v>
      </c>
    </row>
    <row r="103" spans="1:40" ht="18.95" customHeight="1" x14ac:dyDescent="0.2">
      <c r="B103" s="455" t="s">
        <v>440</v>
      </c>
      <c r="C103" s="456"/>
      <c r="D103" s="41">
        <f>2*E106/50</f>
        <v>6</v>
      </c>
      <c r="E103" s="41">
        <f>2*E106/50</f>
        <v>6</v>
      </c>
      <c r="F103" s="41">
        <f t="shared" si="15"/>
        <v>600</v>
      </c>
      <c r="G103" s="41">
        <f t="shared" si="13"/>
        <v>600</v>
      </c>
      <c r="J103" s="488" t="s">
        <v>652</v>
      </c>
      <c r="K103" s="489"/>
      <c r="L103" s="41"/>
      <c r="M103" s="41">
        <v>130</v>
      </c>
      <c r="N103" s="41"/>
      <c r="O103" s="41">
        <f t="shared" si="14"/>
        <v>13000</v>
      </c>
      <c r="Y103" s="236" t="s">
        <v>182</v>
      </c>
      <c r="Z103" s="236" t="s">
        <v>106</v>
      </c>
      <c r="AA103" s="237" t="s">
        <v>107</v>
      </c>
      <c r="AB103" s="238" t="s">
        <v>187</v>
      </c>
      <c r="AC103" s="236" t="s">
        <v>183</v>
      </c>
      <c r="AD103" s="236" t="s">
        <v>184</v>
      </c>
      <c r="AE103" s="236" t="s">
        <v>185</v>
      </c>
      <c r="AF103" s="246" t="s">
        <v>186</v>
      </c>
      <c r="AG103" s="41">
        <f>каши!E35</f>
        <v>3.0644999999999998</v>
      </c>
      <c r="AH103" s="41">
        <f>каши!F35</f>
        <v>4.8014999999999999</v>
      </c>
      <c r="AI103" s="41">
        <f>каши!G35</f>
        <v>20.439</v>
      </c>
      <c r="AJ103" s="41">
        <f>каши!H35</f>
        <v>137.25</v>
      </c>
      <c r="AK103" s="41">
        <f>каши!M35</f>
        <v>36.975000000000001</v>
      </c>
      <c r="AL103" s="41">
        <f>каши!O35</f>
        <v>27.75</v>
      </c>
      <c r="AM103" s="41">
        <f>каши!P35</f>
        <v>1.0095000000000001</v>
      </c>
      <c r="AN103" s="41">
        <f>каши!J35</f>
        <v>18.160499999999999</v>
      </c>
    </row>
    <row r="104" spans="1:40" ht="18.95" customHeight="1" x14ac:dyDescent="0.2">
      <c r="B104" s="455" t="s">
        <v>658</v>
      </c>
      <c r="C104" s="456"/>
      <c r="D104" s="41"/>
      <c r="E104" s="41">
        <f>50*E106/50</f>
        <v>150</v>
      </c>
      <c r="F104" s="41"/>
      <c r="G104" s="41">
        <f t="shared" si="13"/>
        <v>15000</v>
      </c>
      <c r="J104" s="455" t="s">
        <v>653</v>
      </c>
      <c r="K104" s="456"/>
      <c r="L104" s="41">
        <v>20</v>
      </c>
      <c r="M104" s="41">
        <v>20</v>
      </c>
      <c r="N104" s="41">
        <f>L104*100</f>
        <v>2000</v>
      </c>
      <c r="O104" s="41">
        <f t="shared" si="14"/>
        <v>2000</v>
      </c>
      <c r="Q104" s="462" t="s">
        <v>648</v>
      </c>
      <c r="R104" s="462"/>
      <c r="S104" s="462"/>
      <c r="T104" s="462"/>
      <c r="U104" s="462"/>
      <c r="V104" s="462"/>
      <c r="W104" s="462"/>
      <c r="X104" s="462"/>
      <c r="Y104" s="41">
        <f>каши!E33</f>
        <v>2.859</v>
      </c>
      <c r="Z104" s="41">
        <f>каши!F33</f>
        <v>4.3185000000000002</v>
      </c>
      <c r="AA104" s="41">
        <f>каши!G33</f>
        <v>23.012999999999998</v>
      </c>
      <c r="AB104" s="41">
        <f>каши!H33</f>
        <v>142.35</v>
      </c>
      <c r="AC104" s="41">
        <f>каши!M33</f>
        <v>14.64</v>
      </c>
      <c r="AD104" s="41">
        <f>каши!O33</f>
        <v>29.324999999999999</v>
      </c>
      <c r="AE104" s="41">
        <f>каши!P33</f>
        <v>1.1565000000000001</v>
      </c>
      <c r="AF104" s="41">
        <f>каши!J33</f>
        <v>21</v>
      </c>
    </row>
    <row r="105" spans="1:40" ht="18.95" customHeight="1" x14ac:dyDescent="0.2">
      <c r="B105" s="455" t="s">
        <v>653</v>
      </c>
      <c r="C105" s="456"/>
      <c r="D105" s="41">
        <v>20</v>
      </c>
      <c r="E105" s="41">
        <v>20</v>
      </c>
      <c r="F105" s="41">
        <f t="shared" si="15"/>
        <v>2000</v>
      </c>
      <c r="G105" s="41">
        <f t="shared" si="13"/>
        <v>2000</v>
      </c>
      <c r="J105" s="457" t="s">
        <v>180</v>
      </c>
      <c r="K105" s="458"/>
      <c r="L105" s="106"/>
      <c r="M105" s="106">
        <f>каши!B29</f>
        <v>150</v>
      </c>
      <c r="N105" s="106"/>
      <c r="O105" s="106">
        <f t="shared" si="14"/>
        <v>15000</v>
      </c>
      <c r="Q105" s="462"/>
      <c r="R105" s="462"/>
      <c r="S105" s="462"/>
      <c r="T105" s="462"/>
      <c r="U105" s="462"/>
      <c r="V105" s="462"/>
      <c r="W105" s="462"/>
      <c r="X105" s="462"/>
      <c r="AG105" s="462" t="s">
        <v>644</v>
      </c>
      <c r="AH105" s="462"/>
      <c r="AI105" s="462"/>
      <c r="AJ105" s="462"/>
      <c r="AK105" s="462"/>
      <c r="AL105" s="462"/>
      <c r="AM105" s="462"/>
      <c r="AN105" s="462"/>
    </row>
    <row r="106" spans="1:40" ht="18.95" customHeight="1" x14ac:dyDescent="0.2">
      <c r="B106" s="120" t="s">
        <v>180</v>
      </c>
      <c r="C106" s="121"/>
      <c r="D106" s="118"/>
      <c r="E106" s="106">
        <f>каши!B27</f>
        <v>150</v>
      </c>
      <c r="F106" s="106"/>
      <c r="G106" s="106">
        <f t="shared" si="13"/>
        <v>15000</v>
      </c>
      <c r="Q106" s="462"/>
      <c r="R106" s="462"/>
      <c r="S106" s="462"/>
      <c r="T106" s="462"/>
      <c r="U106" s="462"/>
      <c r="V106" s="462"/>
      <c r="W106" s="462"/>
      <c r="X106" s="462"/>
      <c r="Y106" s="462" t="s">
        <v>647</v>
      </c>
      <c r="Z106" s="462"/>
      <c r="AA106" s="462"/>
      <c r="AB106" s="462"/>
      <c r="AC106" s="462"/>
      <c r="AD106" s="462"/>
      <c r="AE106" s="462"/>
      <c r="AF106" s="462"/>
      <c r="AG106" s="462"/>
      <c r="AH106" s="462"/>
      <c r="AI106" s="462"/>
      <c r="AJ106" s="462"/>
      <c r="AK106" s="462"/>
      <c r="AL106" s="462"/>
      <c r="AM106" s="462"/>
      <c r="AN106" s="462"/>
    </row>
    <row r="107" spans="1:40" ht="18.95" customHeight="1" x14ac:dyDescent="0.2">
      <c r="I107" s="459" t="s">
        <v>181</v>
      </c>
      <c r="J107" s="459"/>
      <c r="K107" s="459"/>
      <c r="L107" s="459"/>
      <c r="M107" s="459"/>
      <c r="N107" s="459"/>
      <c r="O107" s="459"/>
      <c r="P107" s="459"/>
      <c r="Q107" s="240"/>
      <c r="R107" s="240"/>
      <c r="S107" s="240"/>
      <c r="T107" s="240"/>
      <c r="U107" s="240"/>
      <c r="V107" s="240"/>
      <c r="W107" s="240"/>
      <c r="X107" s="240"/>
      <c r="Y107" s="462"/>
      <c r="Z107" s="462"/>
      <c r="AA107" s="462"/>
      <c r="AB107" s="462"/>
      <c r="AC107" s="462"/>
      <c r="AD107" s="462"/>
      <c r="AE107" s="462"/>
      <c r="AF107" s="462"/>
      <c r="AG107" s="119"/>
      <c r="AH107" s="119"/>
      <c r="AI107" s="119"/>
      <c r="AJ107" s="119"/>
      <c r="AK107" s="119"/>
      <c r="AL107" s="119"/>
      <c r="AM107" s="119"/>
      <c r="AN107" s="119"/>
    </row>
    <row r="108" spans="1:40" ht="18.95" customHeight="1" x14ac:dyDescent="0.2">
      <c r="A108" s="459" t="s">
        <v>181</v>
      </c>
      <c r="B108" s="459"/>
      <c r="C108" s="459"/>
      <c r="D108" s="459"/>
      <c r="E108" s="459"/>
      <c r="F108" s="459"/>
      <c r="G108" s="459"/>
      <c r="H108" s="461"/>
      <c r="I108" s="106" t="s">
        <v>182</v>
      </c>
      <c r="J108" s="158" t="s">
        <v>106</v>
      </c>
      <c r="K108" s="115" t="s">
        <v>107</v>
      </c>
      <c r="L108" s="116" t="s">
        <v>187</v>
      </c>
      <c r="M108" s="158" t="s">
        <v>183</v>
      </c>
      <c r="N108" s="158" t="s">
        <v>184</v>
      </c>
      <c r="O108" s="158" t="s">
        <v>185</v>
      </c>
      <c r="P108" s="189" t="s">
        <v>186</v>
      </c>
      <c r="Q108" s="532" t="s">
        <v>232</v>
      </c>
      <c r="R108" s="454"/>
      <c r="S108" s="454"/>
      <c r="T108" s="240"/>
      <c r="U108" s="240"/>
      <c r="V108" s="240"/>
      <c r="W108" s="240"/>
      <c r="X108" s="240"/>
      <c r="Y108" s="462"/>
      <c r="Z108" s="462"/>
      <c r="AA108" s="462"/>
      <c r="AB108" s="462"/>
      <c r="AC108" s="462"/>
      <c r="AD108" s="462"/>
      <c r="AE108" s="462"/>
      <c r="AF108" s="462"/>
      <c r="AG108" s="454" t="s">
        <v>232</v>
      </c>
      <c r="AH108" s="454"/>
      <c r="AI108" s="454"/>
      <c r="AJ108" s="119"/>
      <c r="AK108" s="119"/>
      <c r="AL108" s="119"/>
      <c r="AM108" s="119"/>
      <c r="AN108" s="119"/>
    </row>
    <row r="109" spans="1:40" ht="18.95" customHeight="1" x14ac:dyDescent="0.2">
      <c r="A109" s="189" t="s">
        <v>182</v>
      </c>
      <c r="B109" s="158" t="s">
        <v>106</v>
      </c>
      <c r="C109" s="115" t="s">
        <v>107</v>
      </c>
      <c r="D109" s="116" t="s">
        <v>187</v>
      </c>
      <c r="E109" s="158" t="s">
        <v>183</v>
      </c>
      <c r="F109" s="158" t="s">
        <v>184</v>
      </c>
      <c r="G109" s="158" t="s">
        <v>185</v>
      </c>
      <c r="H109" s="160" t="s">
        <v>186</v>
      </c>
      <c r="I109" s="41">
        <f>каши!E29</f>
        <v>21.921428571428571</v>
      </c>
      <c r="J109" s="41">
        <f>каши!F29</f>
        <v>16.585714285714285</v>
      </c>
      <c r="K109" s="41">
        <f>каши!G29</f>
        <v>62</v>
      </c>
      <c r="L109" s="41">
        <f>каши!H29</f>
        <v>405</v>
      </c>
      <c r="M109" s="41">
        <f>каши!M29</f>
        <v>293.37857142857143</v>
      </c>
      <c r="N109" s="41">
        <f>каши!O29</f>
        <v>39.835714285714289</v>
      </c>
      <c r="O109" s="41">
        <f>каши!P29</f>
        <v>0.9642857142857143</v>
      </c>
      <c r="P109" s="41">
        <f>каши!J29</f>
        <v>0.70714285714285718</v>
      </c>
      <c r="Y109" s="462"/>
      <c r="Z109" s="462"/>
      <c r="AA109" s="462"/>
      <c r="AB109" s="462"/>
      <c r="AC109" s="462"/>
      <c r="AD109" s="462"/>
      <c r="AE109" s="462"/>
      <c r="AF109" s="462"/>
      <c r="AG109" s="119"/>
      <c r="AH109" s="119"/>
      <c r="AI109" s="119"/>
      <c r="AJ109" s="119"/>
      <c r="AK109" s="119"/>
      <c r="AL109" s="119"/>
      <c r="AM109" s="119"/>
      <c r="AN109" s="119"/>
    </row>
    <row r="110" spans="1:40" ht="18.95" customHeight="1" x14ac:dyDescent="0.2">
      <c r="A110" s="41">
        <f>каши!E27</f>
        <v>19.414285714285715</v>
      </c>
      <c r="B110" s="41">
        <f>каши!F27</f>
        <v>10.39</v>
      </c>
      <c r="C110" s="41">
        <f>каши!G27</f>
        <v>37.520000000000003</v>
      </c>
      <c r="D110" s="41">
        <f>каши!H27</f>
        <v>378.2</v>
      </c>
      <c r="E110" s="41">
        <f>каши!M27</f>
        <v>272.16428571428571</v>
      </c>
      <c r="F110" s="41">
        <f>каши!O27</f>
        <v>40.478571428571428</v>
      </c>
      <c r="G110" s="41">
        <f>каши!P27</f>
        <v>1.2214285714285713</v>
      </c>
      <c r="H110" s="41">
        <f>каши!J27</f>
        <v>0.45</v>
      </c>
      <c r="Y110" s="462"/>
      <c r="Z110" s="462"/>
      <c r="AA110" s="462"/>
      <c r="AB110" s="462"/>
      <c r="AC110" s="462"/>
      <c r="AD110" s="462"/>
      <c r="AE110" s="462"/>
      <c r="AF110" s="462"/>
    </row>
    <row r="111" spans="1:40" ht="18.95" customHeight="1" x14ac:dyDescent="0.2">
      <c r="I111" s="487" t="s">
        <v>655</v>
      </c>
      <c r="J111" s="487"/>
      <c r="K111" s="487"/>
      <c r="L111" s="487"/>
      <c r="M111" s="487"/>
      <c r="N111" s="487"/>
      <c r="O111" s="487"/>
      <c r="P111" s="487"/>
      <c r="Y111" s="240"/>
      <c r="Z111" s="240"/>
      <c r="AA111" s="240"/>
      <c r="AB111" s="240"/>
      <c r="AC111" s="240"/>
      <c r="AD111" s="240"/>
      <c r="AE111" s="240"/>
      <c r="AF111" s="240"/>
    </row>
    <row r="112" spans="1:40" ht="18.95" customHeight="1" x14ac:dyDescent="0.2">
      <c r="A112" s="462" t="s">
        <v>659</v>
      </c>
      <c r="B112" s="462"/>
      <c r="C112" s="462"/>
      <c r="D112" s="462"/>
      <c r="E112" s="462"/>
      <c r="F112" s="462"/>
      <c r="G112" s="462"/>
      <c r="H112" s="462"/>
      <c r="I112" s="487"/>
      <c r="J112" s="487"/>
      <c r="K112" s="487"/>
      <c r="L112" s="487"/>
      <c r="M112" s="487"/>
      <c r="N112" s="487"/>
      <c r="O112" s="487"/>
      <c r="P112" s="487"/>
      <c r="Y112" s="454" t="s">
        <v>232</v>
      </c>
      <c r="Z112" s="454"/>
      <c r="AA112" s="454"/>
    </row>
    <row r="113" spans="1:65" ht="18.95" customHeight="1" x14ac:dyDescent="0.2">
      <c r="A113" s="462"/>
      <c r="B113" s="462"/>
      <c r="C113" s="462"/>
      <c r="D113" s="462"/>
      <c r="E113" s="462"/>
      <c r="F113" s="462"/>
      <c r="G113" s="462"/>
      <c r="H113" s="462"/>
      <c r="I113" s="487"/>
      <c r="J113" s="487"/>
      <c r="K113" s="487"/>
      <c r="L113" s="487"/>
      <c r="M113" s="487"/>
      <c r="N113" s="487"/>
      <c r="O113" s="487"/>
      <c r="P113" s="487"/>
    </row>
    <row r="114" spans="1:65" ht="18.95" customHeight="1" x14ac:dyDescent="0.2">
      <c r="A114" s="462"/>
      <c r="B114" s="462"/>
      <c r="C114" s="462"/>
      <c r="D114" s="462"/>
      <c r="E114" s="462"/>
      <c r="F114" s="462"/>
      <c r="G114" s="462"/>
      <c r="H114" s="462"/>
      <c r="I114" s="487"/>
      <c r="J114" s="487"/>
      <c r="K114" s="487"/>
      <c r="L114" s="487"/>
      <c r="M114" s="487"/>
      <c r="N114" s="487"/>
      <c r="O114" s="487"/>
      <c r="P114" s="487"/>
    </row>
    <row r="115" spans="1:65" ht="18.95" customHeight="1" x14ac:dyDescent="0.2">
      <c r="A115" s="462"/>
      <c r="B115" s="462"/>
      <c r="C115" s="462"/>
      <c r="D115" s="462"/>
      <c r="E115" s="462"/>
      <c r="F115" s="462"/>
      <c r="G115" s="462"/>
      <c r="H115" s="462"/>
      <c r="I115" s="119"/>
      <c r="J115" s="119"/>
      <c r="K115" s="119"/>
      <c r="L115" s="119"/>
      <c r="M115" s="119"/>
      <c r="N115" s="119"/>
      <c r="O115" s="119"/>
      <c r="P115" s="119"/>
    </row>
    <row r="116" spans="1:65" ht="18.95" customHeight="1" x14ac:dyDescent="0.2">
      <c r="A116" s="462"/>
      <c r="B116" s="462"/>
      <c r="C116" s="462"/>
      <c r="D116" s="462"/>
      <c r="E116" s="462"/>
      <c r="F116" s="462"/>
      <c r="G116" s="462"/>
      <c r="H116" s="462"/>
      <c r="I116" s="454" t="s">
        <v>232</v>
      </c>
      <c r="J116" s="454"/>
      <c r="K116" s="454"/>
    </row>
    <row r="117" spans="1:65" ht="18.95" customHeight="1" x14ac:dyDescent="0.2">
      <c r="A117" s="462"/>
      <c r="B117" s="462"/>
      <c r="C117" s="462"/>
      <c r="D117" s="462"/>
      <c r="E117" s="462"/>
      <c r="F117" s="462"/>
      <c r="G117" s="462"/>
      <c r="H117" s="462"/>
      <c r="Q117" s="125"/>
    </row>
    <row r="118" spans="1:65" ht="18.95" customHeight="1" x14ac:dyDescent="0.2">
      <c r="A118" s="125"/>
      <c r="Q118" s="125"/>
    </row>
    <row r="119" spans="1:65" ht="18.95" customHeight="1" x14ac:dyDescent="0.2">
      <c r="A119" s="454" t="s">
        <v>232</v>
      </c>
      <c r="B119" s="454"/>
      <c r="C119" s="454"/>
      <c r="Q119" s="125"/>
    </row>
    <row r="120" spans="1:65" ht="18.95" customHeight="1" x14ac:dyDescent="0.2"/>
    <row r="121" spans="1:65" ht="18.95" customHeight="1" x14ac:dyDescent="0.2"/>
    <row r="122" spans="1:65" ht="18.95" customHeight="1" x14ac:dyDescent="0.2"/>
    <row r="123" spans="1:65" ht="18.95" customHeight="1" x14ac:dyDescent="0.2">
      <c r="A123" s="168"/>
      <c r="B123" s="168"/>
      <c r="C123" s="168"/>
      <c r="D123" s="168"/>
      <c r="E123" s="168"/>
      <c r="F123" s="168"/>
      <c r="G123" s="168"/>
      <c r="H123" s="168"/>
    </row>
    <row r="124" spans="1:65" s="168" customFormat="1" x14ac:dyDescent="0.2">
      <c r="A124" s="472" t="s">
        <v>214</v>
      </c>
      <c r="B124" s="472"/>
      <c r="F124" s="472" t="s">
        <v>215</v>
      </c>
      <c r="G124" s="472"/>
      <c r="H124" s="472"/>
      <c r="I124" s="472" t="s">
        <v>214</v>
      </c>
      <c r="J124" s="472"/>
      <c r="N124" s="472" t="s">
        <v>215</v>
      </c>
      <c r="O124" s="472"/>
      <c r="P124" s="472"/>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row>
    <row r="125" spans="1:65" x14ac:dyDescent="0.2">
      <c r="E125" s="454" t="s">
        <v>216</v>
      </c>
      <c r="F125" s="454"/>
      <c r="G125" s="454"/>
      <c r="H125" s="454"/>
      <c r="M125" s="454" t="s">
        <v>216</v>
      </c>
      <c r="N125" s="454"/>
      <c r="O125" s="454"/>
      <c r="P125" s="454"/>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row>
    <row r="126" spans="1:65" x14ac:dyDescent="0.2">
      <c r="E126" s="161"/>
      <c r="F126" s="161"/>
      <c r="G126" s="161"/>
      <c r="H126" s="161"/>
      <c r="M126" s="239"/>
      <c r="N126" s="239"/>
      <c r="O126" s="239"/>
      <c r="P126" s="239"/>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c r="BM126" s="167"/>
    </row>
    <row r="127" spans="1:65" ht="18.95" customHeight="1" x14ac:dyDescent="0.2">
      <c r="A127" s="414" t="s">
        <v>624</v>
      </c>
      <c r="B127" s="414"/>
      <c r="C127" s="414"/>
      <c r="D127" s="414"/>
      <c r="E127" s="414"/>
      <c r="F127" s="414"/>
      <c r="G127" s="414"/>
      <c r="H127" s="414"/>
      <c r="I127" s="414" t="s">
        <v>992</v>
      </c>
      <c r="J127" s="414"/>
      <c r="K127" s="414"/>
      <c r="L127" s="414"/>
      <c r="M127" s="414"/>
      <c r="N127" s="414"/>
      <c r="O127" s="414"/>
      <c r="P127" s="414"/>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row>
    <row r="128" spans="1:65" ht="18.95" customHeight="1" x14ac:dyDescent="0.2">
      <c r="A128" s="462" t="s">
        <v>675</v>
      </c>
      <c r="B128" s="482"/>
      <c r="C128" s="482"/>
      <c r="D128" s="482"/>
      <c r="E128" s="482"/>
      <c r="F128" s="482"/>
      <c r="G128" s="482"/>
      <c r="H128" s="482"/>
      <c r="I128" s="462" t="s">
        <v>994</v>
      </c>
      <c r="J128" s="482"/>
      <c r="K128" s="482"/>
      <c r="L128" s="482"/>
      <c r="M128" s="482"/>
      <c r="N128" s="482"/>
      <c r="O128" s="482"/>
      <c r="P128" s="482"/>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row>
    <row r="129" spans="1:65" ht="18.95" customHeight="1" x14ac:dyDescent="0.2">
      <c r="A129" s="473" t="s">
        <v>625</v>
      </c>
      <c r="B129" s="473"/>
      <c r="C129" s="473"/>
      <c r="D129" s="473"/>
      <c r="E129" s="473"/>
      <c r="F129" s="473"/>
      <c r="G129" s="473"/>
      <c r="H129" s="473"/>
      <c r="I129" s="473" t="s">
        <v>993</v>
      </c>
      <c r="J129" s="473"/>
      <c r="K129" s="473"/>
      <c r="L129" s="473"/>
      <c r="M129" s="473"/>
      <c r="N129" s="473"/>
      <c r="O129" s="473"/>
      <c r="P129" s="473"/>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row>
    <row r="130" spans="1:65" ht="18.95" customHeight="1" x14ac:dyDescent="0.2">
      <c r="A130" s="465" t="s">
        <v>189</v>
      </c>
      <c r="B130" s="465"/>
      <c r="C130" s="465"/>
      <c r="D130" s="465"/>
      <c r="E130" s="465"/>
      <c r="F130" s="465"/>
      <c r="G130" s="465"/>
      <c r="H130" s="465"/>
      <c r="I130" s="465" t="s">
        <v>189</v>
      </c>
      <c r="J130" s="465"/>
      <c r="K130" s="465"/>
      <c r="L130" s="465"/>
      <c r="M130" s="465"/>
      <c r="N130" s="465"/>
      <c r="O130" s="465"/>
      <c r="P130" s="465"/>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row>
    <row r="131" spans="1:65" ht="18.95" customHeight="1" x14ac:dyDescent="0.2">
      <c r="A131" s="465" t="s">
        <v>190</v>
      </c>
      <c r="B131" s="465"/>
      <c r="C131" s="465"/>
      <c r="D131" s="465"/>
      <c r="E131" s="465"/>
      <c r="F131" s="465"/>
      <c r="G131" s="465"/>
      <c r="H131" s="465"/>
      <c r="I131" s="465" t="s">
        <v>190</v>
      </c>
      <c r="J131" s="465"/>
      <c r="K131" s="465"/>
      <c r="L131" s="465"/>
      <c r="M131" s="465"/>
      <c r="N131" s="465"/>
      <c r="O131" s="465"/>
      <c r="P131" s="465"/>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row>
    <row r="132" spans="1:65" ht="18.95" customHeight="1" x14ac:dyDescent="0.2">
      <c r="C132" s="159"/>
      <c r="K132" s="245"/>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row>
    <row r="133" spans="1:65" ht="18.95" customHeight="1" x14ac:dyDescent="0.2">
      <c r="B133" s="466" t="s">
        <v>174</v>
      </c>
      <c r="C133" s="467"/>
      <c r="D133" s="412" t="s">
        <v>179</v>
      </c>
      <c r="E133" s="412"/>
      <c r="F133" s="412"/>
      <c r="G133" s="412"/>
      <c r="J133" s="466" t="s">
        <v>174</v>
      </c>
      <c r="K133" s="467"/>
      <c r="L133" s="412" t="s">
        <v>179</v>
      </c>
      <c r="M133" s="412"/>
      <c r="N133" s="412"/>
      <c r="O133" s="412"/>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row>
    <row r="134" spans="1:65" ht="18.95" customHeight="1" x14ac:dyDescent="0.2">
      <c r="B134" s="468"/>
      <c r="C134" s="469"/>
      <c r="D134" s="412" t="s">
        <v>177</v>
      </c>
      <c r="E134" s="412"/>
      <c r="F134" s="412" t="s">
        <v>178</v>
      </c>
      <c r="G134" s="412"/>
      <c r="J134" s="468"/>
      <c r="K134" s="469"/>
      <c r="L134" s="412" t="s">
        <v>177</v>
      </c>
      <c r="M134" s="412"/>
      <c r="N134" s="412" t="s">
        <v>178</v>
      </c>
      <c r="O134" s="412"/>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row>
    <row r="135" spans="1:65" ht="18.95" customHeight="1" x14ac:dyDescent="0.2">
      <c r="B135" s="470"/>
      <c r="C135" s="471"/>
      <c r="D135" s="158" t="s">
        <v>175</v>
      </c>
      <c r="E135" s="158" t="s">
        <v>176</v>
      </c>
      <c r="F135" s="158" t="s">
        <v>175</v>
      </c>
      <c r="G135" s="158" t="s">
        <v>176</v>
      </c>
      <c r="J135" s="470"/>
      <c r="K135" s="471"/>
      <c r="L135" s="236" t="s">
        <v>175</v>
      </c>
      <c r="M135" s="236" t="s">
        <v>176</v>
      </c>
      <c r="N135" s="236" t="s">
        <v>175</v>
      </c>
      <c r="O135" s="236" t="s">
        <v>176</v>
      </c>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row>
    <row r="136" spans="1:65" ht="18.95" customHeight="1" x14ac:dyDescent="0.2">
      <c r="B136" s="455" t="s">
        <v>315</v>
      </c>
      <c r="C136" s="456"/>
      <c r="D136" s="106">
        <f>1433*каши!B37/1000</f>
        <v>214.95</v>
      </c>
      <c r="E136" s="106">
        <f>1146*каши!B37/1000</f>
        <v>171.9</v>
      </c>
      <c r="F136" s="106">
        <f>D136*100</f>
        <v>21495</v>
      </c>
      <c r="G136" s="106">
        <f>E136*100</f>
        <v>17190</v>
      </c>
      <c r="J136" s="455" t="s">
        <v>954</v>
      </c>
      <c r="K136" s="456"/>
      <c r="L136" s="106">
        <f>350*150/1000</f>
        <v>52.5</v>
      </c>
      <c r="M136" s="106">
        <f>350*150/1000</f>
        <v>52.5</v>
      </c>
      <c r="N136" s="106">
        <f>L136*100</f>
        <v>5250</v>
      </c>
      <c r="O136" s="106">
        <f>M136*100</f>
        <v>5250</v>
      </c>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row>
    <row r="137" spans="1:65" ht="18.95" customHeight="1" x14ac:dyDescent="0.2">
      <c r="B137" s="455" t="s">
        <v>561</v>
      </c>
      <c r="C137" s="456"/>
      <c r="D137" s="106">
        <f>1429*каши!B37/1000</f>
        <v>214.35</v>
      </c>
      <c r="E137" s="106">
        <f>1000*каши!B37/1000</f>
        <v>150</v>
      </c>
      <c r="F137" s="106">
        <f t="shared" ref="F137:F146" si="16">D137*100</f>
        <v>21435</v>
      </c>
      <c r="G137" s="106">
        <f t="shared" ref="G137:G145" si="17">E137*100</f>
        <v>15000</v>
      </c>
      <c r="J137" s="455" t="s">
        <v>476</v>
      </c>
      <c r="K137" s="456"/>
      <c r="L137" s="106"/>
      <c r="M137" s="106">
        <f>30*150/1000</f>
        <v>4.5</v>
      </c>
      <c r="N137" s="106"/>
      <c r="O137" s="106">
        <f>M137*100</f>
        <v>450</v>
      </c>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row>
    <row r="138" spans="1:65" ht="18.95" customHeight="1" x14ac:dyDescent="0.2">
      <c r="B138" s="455" t="s">
        <v>191</v>
      </c>
      <c r="C138" s="456"/>
      <c r="D138" s="106">
        <f>35*каши!B37/1000</f>
        <v>5.25</v>
      </c>
      <c r="E138" s="106">
        <f>35*каши!B37/1000</f>
        <v>5.25</v>
      </c>
      <c r="F138" s="106">
        <f t="shared" si="16"/>
        <v>525</v>
      </c>
      <c r="G138" s="106">
        <f t="shared" si="17"/>
        <v>525</v>
      </c>
      <c r="J138" s="457" t="s">
        <v>180</v>
      </c>
      <c r="K138" s="458"/>
      <c r="L138" s="118"/>
      <c r="M138" s="106">
        <v>150</v>
      </c>
      <c r="N138" s="106"/>
      <c r="O138" s="106">
        <f>M138*100</f>
        <v>15000</v>
      </c>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row>
    <row r="139" spans="1:65" ht="18.95" customHeight="1" x14ac:dyDescent="0.2">
      <c r="B139" s="455" t="s">
        <v>246</v>
      </c>
      <c r="C139" s="456"/>
      <c r="D139" s="106">
        <f>25*каши!B37/1000</f>
        <v>3.75</v>
      </c>
      <c r="E139" s="106">
        <f>20*каши!B37/1000</f>
        <v>3</v>
      </c>
      <c r="F139" s="106">
        <f t="shared" si="16"/>
        <v>375</v>
      </c>
      <c r="G139" s="106">
        <f t="shared" si="17"/>
        <v>300</v>
      </c>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row>
    <row r="140" spans="1:65" ht="18.95" customHeight="1" x14ac:dyDescent="0.2">
      <c r="B140" s="455" t="s">
        <v>211</v>
      </c>
      <c r="C140" s="456"/>
      <c r="D140" s="106">
        <f>48*каши!B37/1000</f>
        <v>7.2</v>
      </c>
      <c r="E140" s="106">
        <f>40*каши!B37/1000</f>
        <v>6</v>
      </c>
      <c r="F140" s="106">
        <f t="shared" si="16"/>
        <v>720</v>
      </c>
      <c r="G140" s="106">
        <f t="shared" si="17"/>
        <v>600</v>
      </c>
      <c r="I140" s="459" t="s">
        <v>181</v>
      </c>
      <c r="J140" s="459"/>
      <c r="K140" s="459"/>
      <c r="L140" s="459"/>
      <c r="M140" s="459"/>
      <c r="N140" s="459"/>
      <c r="O140" s="459"/>
      <c r="P140" s="459"/>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row>
    <row r="141" spans="1:65" ht="18.95" customHeight="1" x14ac:dyDescent="0.2">
      <c r="B141" s="455" t="s">
        <v>357</v>
      </c>
      <c r="C141" s="456"/>
      <c r="D141" s="106">
        <f>60*каши!B37/1000</f>
        <v>9</v>
      </c>
      <c r="E141" s="106">
        <f>60*каши!B37/1000</f>
        <v>9</v>
      </c>
      <c r="F141" s="106">
        <f t="shared" si="16"/>
        <v>900</v>
      </c>
      <c r="G141" s="106">
        <f t="shared" si="17"/>
        <v>900</v>
      </c>
      <c r="I141" s="236" t="s">
        <v>182</v>
      </c>
      <c r="J141" s="236" t="s">
        <v>106</v>
      </c>
      <c r="K141" s="237" t="s">
        <v>107</v>
      </c>
      <c r="L141" s="238" t="s">
        <v>187</v>
      </c>
      <c r="M141" s="236" t="s">
        <v>183</v>
      </c>
      <c r="N141" s="236" t="s">
        <v>184</v>
      </c>
      <c r="O141" s="236" t="s">
        <v>185</v>
      </c>
      <c r="P141" s="236" t="s">
        <v>186</v>
      </c>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row>
    <row r="142" spans="1:65" ht="18.95" customHeight="1" x14ac:dyDescent="0.2">
      <c r="B142" s="463" t="s">
        <v>638</v>
      </c>
      <c r="C142" s="464"/>
      <c r="D142" s="106">
        <f>30*каши!B37/1000</f>
        <v>4.5</v>
      </c>
      <c r="E142" s="106">
        <f>30*каши!B37/1000</f>
        <v>4.5</v>
      </c>
      <c r="F142" s="106">
        <f t="shared" si="16"/>
        <v>450</v>
      </c>
      <c r="G142" s="106">
        <f t="shared" si="17"/>
        <v>450</v>
      </c>
      <c r="I142" s="41">
        <v>5.66</v>
      </c>
      <c r="J142" s="41">
        <v>0.66</v>
      </c>
      <c r="K142" s="41">
        <v>31.92</v>
      </c>
      <c r="L142" s="41">
        <v>156.30000000000001</v>
      </c>
      <c r="M142" s="41">
        <v>11.2</v>
      </c>
      <c r="N142" s="41">
        <v>8.6199999999999992</v>
      </c>
      <c r="O142" s="41">
        <v>0.85</v>
      </c>
      <c r="P142" s="41">
        <v>0</v>
      </c>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row>
    <row r="143" spans="1:65" ht="18.95" customHeight="1" x14ac:dyDescent="0.2">
      <c r="B143" s="455" t="s">
        <v>410</v>
      </c>
      <c r="C143" s="456"/>
      <c r="D143" s="106">
        <f>12*каши!B37/1000</f>
        <v>1.8</v>
      </c>
      <c r="E143" s="106">
        <f>12*каши!B37/1000</f>
        <v>1.8</v>
      </c>
      <c r="F143" s="106">
        <f t="shared" si="16"/>
        <v>180</v>
      </c>
      <c r="G143" s="106">
        <f t="shared" si="17"/>
        <v>180</v>
      </c>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c r="BM143" s="167"/>
    </row>
    <row r="144" spans="1:65" ht="18.95" customHeight="1" x14ac:dyDescent="0.2">
      <c r="B144" s="455" t="s">
        <v>297</v>
      </c>
      <c r="C144" s="456"/>
      <c r="D144" s="106">
        <f>30*каши!B37/1000</f>
        <v>4.5</v>
      </c>
      <c r="E144" s="106">
        <f>30*каши!B37/1000</f>
        <v>4.5</v>
      </c>
      <c r="F144" s="106">
        <f t="shared" si="16"/>
        <v>450</v>
      </c>
      <c r="G144" s="106">
        <f t="shared" si="17"/>
        <v>450</v>
      </c>
      <c r="I144" s="462" t="s">
        <v>995</v>
      </c>
      <c r="J144" s="462"/>
      <c r="K144" s="462"/>
      <c r="L144" s="462"/>
      <c r="M144" s="462"/>
      <c r="N144" s="462"/>
      <c r="O144" s="462"/>
      <c r="P144" s="462"/>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row>
    <row r="145" spans="1:65" ht="18.95" customHeight="1" x14ac:dyDescent="0.2">
      <c r="B145" s="455" t="s">
        <v>639</v>
      </c>
      <c r="C145" s="456"/>
      <c r="D145" s="106">
        <f>0.2*каши!B37/1000</f>
        <v>0.03</v>
      </c>
      <c r="E145" s="106">
        <f>0.2*каши!B37/1000</f>
        <v>0.03</v>
      </c>
      <c r="F145" s="106">
        <f t="shared" si="16"/>
        <v>3</v>
      </c>
      <c r="G145" s="106">
        <f t="shared" si="17"/>
        <v>3</v>
      </c>
      <c r="I145" s="462"/>
      <c r="J145" s="462"/>
      <c r="K145" s="462"/>
      <c r="L145" s="462"/>
      <c r="M145" s="462"/>
      <c r="N145" s="462"/>
      <c r="O145" s="462"/>
      <c r="P145" s="462"/>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c r="BM145" s="167"/>
    </row>
    <row r="146" spans="1:65" ht="18.95" customHeight="1" x14ac:dyDescent="0.2">
      <c r="B146" s="455" t="s">
        <v>640</v>
      </c>
      <c r="C146" s="456"/>
      <c r="D146" s="106">
        <f>0.1*каши!B37/1000</f>
        <v>1.4999999999999999E-2</v>
      </c>
      <c r="E146" s="106">
        <f>0.1*каши!B37/1000</f>
        <v>1.4999999999999999E-2</v>
      </c>
      <c r="F146" s="106">
        <f t="shared" si="16"/>
        <v>1.5</v>
      </c>
      <c r="G146" s="106">
        <f>E146*100</f>
        <v>1.5</v>
      </c>
      <c r="I146" s="462"/>
      <c r="J146" s="462"/>
      <c r="K146" s="462"/>
      <c r="L146" s="462"/>
      <c r="M146" s="462"/>
      <c r="N146" s="462"/>
      <c r="O146" s="462"/>
      <c r="P146" s="462"/>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c r="BM146" s="167"/>
    </row>
    <row r="147" spans="1:65" ht="18.95" customHeight="1" x14ac:dyDescent="0.2">
      <c r="B147" s="457" t="s">
        <v>180</v>
      </c>
      <c r="C147" s="458"/>
      <c r="D147" s="118"/>
      <c r="E147" s="106">
        <f>каши!B37</f>
        <v>150</v>
      </c>
      <c r="F147" s="106"/>
      <c r="G147" s="106">
        <f>E147*100</f>
        <v>15000</v>
      </c>
      <c r="I147" s="462"/>
      <c r="J147" s="462"/>
      <c r="K147" s="462"/>
      <c r="L147" s="462"/>
      <c r="M147" s="462"/>
      <c r="N147" s="462"/>
      <c r="O147" s="462"/>
      <c r="P147" s="462"/>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c r="BM147" s="167"/>
    </row>
    <row r="148" spans="1:65" ht="18.95" customHeight="1" x14ac:dyDescent="0.2">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row>
    <row r="149" spans="1:65" ht="18.95" customHeight="1" x14ac:dyDescent="0.2">
      <c r="A149" s="459" t="s">
        <v>641</v>
      </c>
      <c r="B149" s="459"/>
      <c r="C149" s="459"/>
      <c r="D149" s="459"/>
      <c r="E149" s="459"/>
      <c r="F149" s="459"/>
      <c r="G149" s="459"/>
      <c r="H149" s="459"/>
      <c r="I149" s="454" t="s">
        <v>232</v>
      </c>
      <c r="J149" s="454"/>
      <c r="K149" s="454"/>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row>
    <row r="150" spans="1:65" ht="18.95" customHeight="1" x14ac:dyDescent="0.2">
      <c r="A150" s="158" t="s">
        <v>182</v>
      </c>
      <c r="B150" s="158" t="s">
        <v>106</v>
      </c>
      <c r="C150" s="115" t="s">
        <v>107</v>
      </c>
      <c r="D150" s="116" t="s">
        <v>187</v>
      </c>
      <c r="E150" s="158" t="s">
        <v>183</v>
      </c>
      <c r="F150" s="158" t="s">
        <v>184</v>
      </c>
      <c r="G150" s="158" t="s">
        <v>185</v>
      </c>
      <c r="H150" s="189" t="s">
        <v>186</v>
      </c>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row>
    <row r="151" spans="1:65" ht="18.95" customHeight="1" x14ac:dyDescent="0.2">
      <c r="A151" s="41">
        <f>каши!E39</f>
        <v>3.0975000000000001</v>
      </c>
      <c r="B151" s="41">
        <f>каши!F39</f>
        <v>4.8555000000000001</v>
      </c>
      <c r="C151" s="41">
        <f>каши!G39</f>
        <v>14.140499999999999</v>
      </c>
      <c r="D151" s="41">
        <f>каши!H39</f>
        <v>112.65</v>
      </c>
      <c r="E151" s="41">
        <f>каши!M39</f>
        <v>83.174999999999997</v>
      </c>
      <c r="F151" s="41">
        <f>каши!O39</f>
        <v>30.975000000000001</v>
      </c>
      <c r="G151" s="41">
        <f>каши!P39</f>
        <v>1.212</v>
      </c>
      <c r="H151" s="41">
        <f>каши!J39</f>
        <v>25.742999999999999</v>
      </c>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row>
    <row r="152" spans="1:65" ht="18.95" customHeight="1" x14ac:dyDescent="0.2">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row>
    <row r="153" spans="1:65" ht="18.95" customHeight="1" x14ac:dyDescent="0.2">
      <c r="A153" s="459" t="s">
        <v>642</v>
      </c>
      <c r="B153" s="459"/>
      <c r="C153" s="459"/>
      <c r="D153" s="459"/>
      <c r="E153" s="459"/>
      <c r="F153" s="459"/>
      <c r="G153" s="459"/>
      <c r="H153" s="459"/>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row>
    <row r="154" spans="1:65" ht="18.95" customHeight="1" x14ac:dyDescent="0.2">
      <c r="A154" s="158" t="s">
        <v>182</v>
      </c>
      <c r="B154" s="158" t="s">
        <v>106</v>
      </c>
      <c r="C154" s="115" t="s">
        <v>107</v>
      </c>
      <c r="D154" s="116" t="s">
        <v>187</v>
      </c>
      <c r="E154" s="158" t="s">
        <v>183</v>
      </c>
      <c r="F154" s="158" t="s">
        <v>184</v>
      </c>
      <c r="G154" s="158" t="s">
        <v>185</v>
      </c>
      <c r="H154" s="189" t="s">
        <v>186</v>
      </c>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row>
    <row r="155" spans="1:65" ht="18.95" customHeight="1" x14ac:dyDescent="0.2">
      <c r="A155" s="41">
        <f>каши!E37</f>
        <v>2.7705000000000002</v>
      </c>
      <c r="B155" s="41">
        <f>каши!F37</f>
        <v>4.8360000000000003</v>
      </c>
      <c r="C155" s="41">
        <f>каши!G37</f>
        <v>10.785</v>
      </c>
      <c r="D155" s="41">
        <f>каши!H37</f>
        <v>97.8</v>
      </c>
      <c r="E155" s="41">
        <f>каши!M37</f>
        <v>73.185000000000002</v>
      </c>
      <c r="F155" s="41">
        <f>каши!O37</f>
        <v>27.824999999999999</v>
      </c>
      <c r="G155" s="41">
        <f>каши!P37</f>
        <v>1.0920000000000001</v>
      </c>
      <c r="H155" s="41">
        <f>каши!J37</f>
        <v>15.388500000000001</v>
      </c>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row>
    <row r="156" spans="1:65" ht="18.95" customHeight="1" x14ac:dyDescent="0.2">
      <c r="A156" s="143"/>
      <c r="B156" s="143"/>
      <c r="C156" s="143"/>
      <c r="D156" s="143"/>
      <c r="E156" s="143"/>
      <c r="F156" s="143"/>
      <c r="G156" s="143"/>
      <c r="H156" s="143"/>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row>
    <row r="157" spans="1:65" ht="18.95" customHeight="1" x14ac:dyDescent="0.2">
      <c r="A157" s="462" t="s">
        <v>643</v>
      </c>
      <c r="B157" s="462"/>
      <c r="C157" s="462"/>
      <c r="D157" s="462"/>
      <c r="E157" s="462"/>
      <c r="F157" s="462"/>
      <c r="G157" s="462"/>
      <c r="H157" s="462"/>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c r="BM157" s="167"/>
    </row>
    <row r="158" spans="1:65" ht="18.95" customHeight="1" x14ac:dyDescent="0.2">
      <c r="A158" s="462"/>
      <c r="B158" s="462"/>
      <c r="C158" s="462"/>
      <c r="D158" s="462"/>
      <c r="E158" s="462"/>
      <c r="F158" s="462"/>
      <c r="G158" s="462"/>
      <c r="H158" s="462"/>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c r="BM158" s="167"/>
    </row>
    <row r="159" spans="1:65" ht="18.95" customHeight="1" x14ac:dyDescent="0.2">
      <c r="A159" s="462"/>
      <c r="B159" s="462"/>
      <c r="C159" s="462"/>
      <c r="D159" s="462"/>
      <c r="E159" s="462"/>
      <c r="F159" s="462"/>
      <c r="G159" s="462"/>
      <c r="H159" s="462"/>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c r="BM159" s="167"/>
    </row>
    <row r="160" spans="1:65" ht="18.95" customHeight="1" x14ac:dyDescent="0.2">
      <c r="A160" s="462"/>
      <c r="B160" s="462"/>
      <c r="C160" s="462"/>
      <c r="D160" s="462"/>
      <c r="E160" s="462"/>
      <c r="F160" s="462"/>
      <c r="G160" s="462"/>
      <c r="H160" s="462"/>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c r="BM160" s="167"/>
    </row>
    <row r="161" spans="1:65" ht="18.95" customHeight="1" x14ac:dyDescent="0.2">
      <c r="A161" s="119"/>
      <c r="B161" s="119"/>
      <c r="C161" s="119"/>
      <c r="D161" s="119"/>
      <c r="E161" s="119"/>
      <c r="F161" s="119"/>
      <c r="G161" s="119"/>
      <c r="H161" s="119"/>
      <c r="I161" s="119"/>
      <c r="J161" s="119"/>
      <c r="K161" s="119"/>
      <c r="L161" s="119"/>
      <c r="M161" s="119"/>
      <c r="N161" s="119"/>
      <c r="O161" s="119"/>
      <c r="P161" s="119"/>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row>
    <row r="162" spans="1:65" ht="18.95" customHeight="1" x14ac:dyDescent="0.2">
      <c r="A162" s="454" t="s">
        <v>232</v>
      </c>
      <c r="B162" s="454"/>
      <c r="C162" s="454"/>
      <c r="D162" s="119"/>
      <c r="E162" s="119"/>
      <c r="F162" s="119"/>
      <c r="G162" s="119"/>
      <c r="H162" s="119"/>
      <c r="I162" s="119"/>
      <c r="J162" s="119"/>
      <c r="K162" s="119"/>
      <c r="L162" s="119"/>
      <c r="M162" s="119"/>
      <c r="N162" s="119"/>
      <c r="O162" s="119"/>
      <c r="P162" s="119"/>
    </row>
    <row r="163" spans="1:65" ht="18.95" customHeight="1" x14ac:dyDescent="0.2">
      <c r="A163" s="125"/>
      <c r="B163" s="125"/>
      <c r="C163" s="125"/>
    </row>
    <row r="164" spans="1:65" ht="18.95" customHeight="1" x14ac:dyDescent="0.2"/>
  </sheetData>
  <mergeCells count="394">
    <mergeCell ref="Y112:AA112"/>
    <mergeCell ref="Y106:AF110"/>
    <mergeCell ref="Z100:AA100"/>
    <mergeCell ref="AH99:AI99"/>
    <mergeCell ref="AG101:AN101"/>
    <mergeCell ref="Y102:AF102"/>
    <mergeCell ref="AG105:AN106"/>
    <mergeCell ref="AG108:AI108"/>
    <mergeCell ref="J138:K138"/>
    <mergeCell ref="Q100:X100"/>
    <mergeCell ref="Q104:X106"/>
    <mergeCell ref="Q108:S108"/>
    <mergeCell ref="I149:K149"/>
    <mergeCell ref="J136:K136"/>
    <mergeCell ref="I124:J124"/>
    <mergeCell ref="N124:P124"/>
    <mergeCell ref="M125:P125"/>
    <mergeCell ref="I127:P127"/>
    <mergeCell ref="I128:P128"/>
    <mergeCell ref="I129:P129"/>
    <mergeCell ref="I130:P130"/>
    <mergeCell ref="I131:P131"/>
    <mergeCell ref="J133:K135"/>
    <mergeCell ref="L133:O133"/>
    <mergeCell ref="L134:M134"/>
    <mergeCell ref="N134:O134"/>
    <mergeCell ref="J137:K137"/>
    <mergeCell ref="I140:P140"/>
    <mergeCell ref="I144:P147"/>
    <mergeCell ref="B65:C65"/>
    <mergeCell ref="B66:C66"/>
    <mergeCell ref="A68:H68"/>
    <mergeCell ref="A72:H75"/>
    <mergeCell ref="A77:C77"/>
    <mergeCell ref="AG29:AI29"/>
    <mergeCell ref="Y23:AF23"/>
    <mergeCell ref="AG26:AN27"/>
    <mergeCell ref="Y27:AF29"/>
    <mergeCell ref="Y31:AA31"/>
    <mergeCell ref="Q26:X27"/>
    <mergeCell ref="Q29:S29"/>
    <mergeCell ref="I26:P28"/>
    <mergeCell ref="I30:K30"/>
    <mergeCell ref="A23:H23"/>
    <mergeCell ref="AG76:AI76"/>
    <mergeCell ref="I72:P75"/>
    <mergeCell ref="B61:C61"/>
    <mergeCell ref="Z61:AA61"/>
    <mergeCell ref="B62:C62"/>
    <mergeCell ref="Y63:AF63"/>
    <mergeCell ref="AH61:AI61"/>
    <mergeCell ref="AH62:AI62"/>
    <mergeCell ref="AH63:AI63"/>
    <mergeCell ref="A162:C162"/>
    <mergeCell ref="J102:K102"/>
    <mergeCell ref="J103:K103"/>
    <mergeCell ref="J104:K104"/>
    <mergeCell ref="I111:P114"/>
    <mergeCell ref="I116:K116"/>
    <mergeCell ref="B147:C147"/>
    <mergeCell ref="A149:H149"/>
    <mergeCell ref="A153:H153"/>
    <mergeCell ref="A157:H160"/>
    <mergeCell ref="B145:C145"/>
    <mergeCell ref="B140:C140"/>
    <mergeCell ref="B141:C141"/>
    <mergeCell ref="B138:C138"/>
    <mergeCell ref="B139:C139"/>
    <mergeCell ref="B136:C136"/>
    <mergeCell ref="B137:C137"/>
    <mergeCell ref="D134:E134"/>
    <mergeCell ref="F134:G134"/>
    <mergeCell ref="B133:C135"/>
    <mergeCell ref="D133:G133"/>
    <mergeCell ref="A130:H130"/>
    <mergeCell ref="A131:H131"/>
    <mergeCell ref="A128:H128"/>
    <mergeCell ref="A129:H129"/>
    <mergeCell ref="E125:H125"/>
    <mergeCell ref="A127:H127"/>
    <mergeCell ref="A124:B124"/>
    <mergeCell ref="F124:H124"/>
    <mergeCell ref="A112:H117"/>
    <mergeCell ref="A119:C119"/>
    <mergeCell ref="B104:C104"/>
    <mergeCell ref="B105:C105"/>
    <mergeCell ref="A108:H108"/>
    <mergeCell ref="B101:C101"/>
    <mergeCell ref="J101:K101"/>
    <mergeCell ref="I107:P107"/>
    <mergeCell ref="B102:C102"/>
    <mergeCell ref="J105:K105"/>
    <mergeCell ref="B103:C103"/>
    <mergeCell ref="B99:C99"/>
    <mergeCell ref="J99:K99"/>
    <mergeCell ref="B100:C100"/>
    <mergeCell ref="J100:K100"/>
    <mergeCell ref="B97:C97"/>
    <mergeCell ref="J97:K97"/>
    <mergeCell ref="Z98:AA98"/>
    <mergeCell ref="AH98:AI98"/>
    <mergeCell ref="B98:C98"/>
    <mergeCell ref="J98:K98"/>
    <mergeCell ref="Z97:AA97"/>
    <mergeCell ref="R98:S98"/>
    <mergeCell ref="B95:C95"/>
    <mergeCell ref="J95:K95"/>
    <mergeCell ref="R95:S95"/>
    <mergeCell ref="Z95:AA95"/>
    <mergeCell ref="AH95:AI95"/>
    <mergeCell ref="B96:C96"/>
    <mergeCell ref="J96:K96"/>
    <mergeCell ref="R97:S97"/>
    <mergeCell ref="Z96:AA96"/>
    <mergeCell ref="AH96:AI96"/>
    <mergeCell ref="R96:S96"/>
    <mergeCell ref="AH97:AI97"/>
    <mergeCell ref="AJ92:AM92"/>
    <mergeCell ref="D93:E93"/>
    <mergeCell ref="F93:G93"/>
    <mergeCell ref="L93:M93"/>
    <mergeCell ref="N93:O93"/>
    <mergeCell ref="T93:U93"/>
    <mergeCell ref="V93:W93"/>
    <mergeCell ref="AB93:AC93"/>
    <mergeCell ref="AD93:AE93"/>
    <mergeCell ref="AJ93:AK93"/>
    <mergeCell ref="AL93:AM93"/>
    <mergeCell ref="B92:C94"/>
    <mergeCell ref="D92:G92"/>
    <mergeCell ref="J92:K94"/>
    <mergeCell ref="L92:O92"/>
    <mergeCell ref="R92:S94"/>
    <mergeCell ref="T92:W92"/>
    <mergeCell ref="Z92:AA94"/>
    <mergeCell ref="AB92:AE92"/>
    <mergeCell ref="AH92:AI94"/>
    <mergeCell ref="A89:H89"/>
    <mergeCell ref="I89:P89"/>
    <mergeCell ref="Q89:X89"/>
    <mergeCell ref="Y89:AF89"/>
    <mergeCell ref="AG89:AN89"/>
    <mergeCell ref="A90:H90"/>
    <mergeCell ref="I90:P90"/>
    <mergeCell ref="Q90:X90"/>
    <mergeCell ref="Y90:AF90"/>
    <mergeCell ref="AG90:AN90"/>
    <mergeCell ref="A87:H87"/>
    <mergeCell ref="I87:P87"/>
    <mergeCell ref="Q87:X87"/>
    <mergeCell ref="Y87:AF87"/>
    <mergeCell ref="AG87:AN87"/>
    <mergeCell ref="A88:H88"/>
    <mergeCell ref="I88:P88"/>
    <mergeCell ref="Q88:X88"/>
    <mergeCell ref="Y88:AF88"/>
    <mergeCell ref="AG88:AN88"/>
    <mergeCell ref="AL83:AN83"/>
    <mergeCell ref="E84:H84"/>
    <mergeCell ref="M84:P84"/>
    <mergeCell ref="U84:X84"/>
    <mergeCell ref="AC84:AF84"/>
    <mergeCell ref="AK84:AN84"/>
    <mergeCell ref="AG78:AI78"/>
    <mergeCell ref="AG77:AI77"/>
    <mergeCell ref="A86:H86"/>
    <mergeCell ref="I86:P86"/>
    <mergeCell ref="Q86:X86"/>
    <mergeCell ref="Y86:AF86"/>
    <mergeCell ref="AG86:AN86"/>
    <mergeCell ref="I77:K77"/>
    <mergeCell ref="A83:B83"/>
    <mergeCell ref="F83:H83"/>
    <mergeCell ref="I83:J83"/>
    <mergeCell ref="N83:P83"/>
    <mergeCell ref="Q83:R83"/>
    <mergeCell ref="V83:X83"/>
    <mergeCell ref="Y83:Z83"/>
    <mergeCell ref="AD83:AF83"/>
    <mergeCell ref="AG83:AH83"/>
    <mergeCell ref="AG67:AN67"/>
    <mergeCell ref="AG71:AN74"/>
    <mergeCell ref="J61:K61"/>
    <mergeCell ref="J62:K62"/>
    <mergeCell ref="J63:K63"/>
    <mergeCell ref="J64:K64"/>
    <mergeCell ref="J65:K65"/>
    <mergeCell ref="J66:K66"/>
    <mergeCell ref="I68:P68"/>
    <mergeCell ref="Y67:AF68"/>
    <mergeCell ref="Y70:AA70"/>
    <mergeCell ref="Q62:X63"/>
    <mergeCell ref="Q65:S65"/>
    <mergeCell ref="B63:C63"/>
    <mergeCell ref="B64:C64"/>
    <mergeCell ref="B56:C56"/>
    <mergeCell ref="J56:K56"/>
    <mergeCell ref="Z56:AA56"/>
    <mergeCell ref="AH56:AI56"/>
    <mergeCell ref="B59:C59"/>
    <mergeCell ref="Z59:AA59"/>
    <mergeCell ref="AH59:AI59"/>
    <mergeCell ref="B60:C60"/>
    <mergeCell ref="Z60:AA60"/>
    <mergeCell ref="AH60:AI60"/>
    <mergeCell ref="B57:C57"/>
    <mergeCell ref="J57:K57"/>
    <mergeCell ref="Z57:AA57"/>
    <mergeCell ref="AH57:AI57"/>
    <mergeCell ref="B58:C58"/>
    <mergeCell ref="J58:K58"/>
    <mergeCell ref="Z58:AA58"/>
    <mergeCell ref="AH58:AI58"/>
    <mergeCell ref="J59:K59"/>
    <mergeCell ref="J60:K60"/>
    <mergeCell ref="Q58:X58"/>
    <mergeCell ref="AH64:AI64"/>
    <mergeCell ref="B54:C54"/>
    <mergeCell ref="J54:K54"/>
    <mergeCell ref="R54:S54"/>
    <mergeCell ref="Z54:AA54"/>
    <mergeCell ref="AH54:AI54"/>
    <mergeCell ref="B55:C55"/>
    <mergeCell ref="J55:K55"/>
    <mergeCell ref="Z55:AA55"/>
    <mergeCell ref="AH55:AI55"/>
    <mergeCell ref="AB51:AE51"/>
    <mergeCell ref="AH51:AI53"/>
    <mergeCell ref="AJ51:AM51"/>
    <mergeCell ref="D52:E52"/>
    <mergeCell ref="F52:G52"/>
    <mergeCell ref="L52:M52"/>
    <mergeCell ref="N52:O52"/>
    <mergeCell ref="T52:U52"/>
    <mergeCell ref="V52:W52"/>
    <mergeCell ref="AB52:AC52"/>
    <mergeCell ref="AD52:AE52"/>
    <mergeCell ref="AJ52:AK52"/>
    <mergeCell ref="AL52:AM52"/>
    <mergeCell ref="L51:O51"/>
    <mergeCell ref="R51:S53"/>
    <mergeCell ref="T51:W51"/>
    <mergeCell ref="Z51:AA53"/>
    <mergeCell ref="AG47:AN47"/>
    <mergeCell ref="A48:H48"/>
    <mergeCell ref="I48:P48"/>
    <mergeCell ref="Q48:X48"/>
    <mergeCell ref="Y48:AF48"/>
    <mergeCell ref="AG48:AN48"/>
    <mergeCell ref="A49:H49"/>
    <mergeCell ref="I49:P49"/>
    <mergeCell ref="Q49:X49"/>
    <mergeCell ref="Y49:AF49"/>
    <mergeCell ref="AG49:AN49"/>
    <mergeCell ref="Q47:X47"/>
    <mergeCell ref="Y47:AF47"/>
    <mergeCell ref="AK43:AN43"/>
    <mergeCell ref="A45:H45"/>
    <mergeCell ref="I45:P45"/>
    <mergeCell ref="Q45:X45"/>
    <mergeCell ref="Y45:AF45"/>
    <mergeCell ref="AG45:AN45"/>
    <mergeCell ref="A46:H46"/>
    <mergeCell ref="I46:P46"/>
    <mergeCell ref="Q46:X46"/>
    <mergeCell ref="Y46:AF46"/>
    <mergeCell ref="AG46:AN46"/>
    <mergeCell ref="U43:X43"/>
    <mergeCell ref="AC43:AF43"/>
    <mergeCell ref="AG42:AH42"/>
    <mergeCell ref="AL42:AN42"/>
    <mergeCell ref="A27:H30"/>
    <mergeCell ref="A32:C32"/>
    <mergeCell ref="R20:S20"/>
    <mergeCell ref="AH20:AI20"/>
    <mergeCell ref="Z20:AA20"/>
    <mergeCell ref="Z21:AA21"/>
    <mergeCell ref="AG22:AN22"/>
    <mergeCell ref="Q22:X22"/>
    <mergeCell ref="J20:K20"/>
    <mergeCell ref="I22:P22"/>
    <mergeCell ref="Q42:R42"/>
    <mergeCell ref="V42:X42"/>
    <mergeCell ref="AH18:AI18"/>
    <mergeCell ref="R19:S19"/>
    <mergeCell ref="AH19:AI19"/>
    <mergeCell ref="B16:C16"/>
    <mergeCell ref="J16:K16"/>
    <mergeCell ref="R16:S16"/>
    <mergeCell ref="AH16:AI16"/>
    <mergeCell ref="B17:C17"/>
    <mergeCell ref="J17:K17"/>
    <mergeCell ref="R17:S17"/>
    <mergeCell ref="AH17:AI17"/>
    <mergeCell ref="Z16:AA16"/>
    <mergeCell ref="Z17:AA17"/>
    <mergeCell ref="Z18:AA18"/>
    <mergeCell ref="Z19:AA19"/>
    <mergeCell ref="J19:K19"/>
    <mergeCell ref="J18:K18"/>
    <mergeCell ref="R18:S18"/>
    <mergeCell ref="A19:H19"/>
    <mergeCell ref="AH13:AI13"/>
    <mergeCell ref="B14:C14"/>
    <mergeCell ref="J14:K14"/>
    <mergeCell ref="R14:S14"/>
    <mergeCell ref="Z14:AA14"/>
    <mergeCell ref="AH14:AI14"/>
    <mergeCell ref="B15:C15"/>
    <mergeCell ref="J15:K15"/>
    <mergeCell ref="R15:S15"/>
    <mergeCell ref="Z15:AA15"/>
    <mergeCell ref="AH15:AI15"/>
    <mergeCell ref="R13:S13"/>
    <mergeCell ref="Z13:AA13"/>
    <mergeCell ref="AG8:AN8"/>
    <mergeCell ref="B10:C12"/>
    <mergeCell ref="D10:G10"/>
    <mergeCell ref="J10:K12"/>
    <mergeCell ref="L10:O10"/>
    <mergeCell ref="R10:S12"/>
    <mergeCell ref="T10:W10"/>
    <mergeCell ref="Z10:AA12"/>
    <mergeCell ref="AB10:AE10"/>
    <mergeCell ref="AH10:AI12"/>
    <mergeCell ref="AJ10:AM10"/>
    <mergeCell ref="D11:E11"/>
    <mergeCell ref="F11:G11"/>
    <mergeCell ref="L11:M11"/>
    <mergeCell ref="N11:O11"/>
    <mergeCell ref="T11:U11"/>
    <mergeCell ref="V11:W11"/>
    <mergeCell ref="AB11:AC11"/>
    <mergeCell ref="AD11:AE11"/>
    <mergeCell ref="AJ11:AK11"/>
    <mergeCell ref="AL11:AM11"/>
    <mergeCell ref="A8:H8"/>
    <mergeCell ref="I8:P8"/>
    <mergeCell ref="Q8:X8"/>
    <mergeCell ref="AG5:AN5"/>
    <mergeCell ref="A6:H6"/>
    <mergeCell ref="I6:P6"/>
    <mergeCell ref="Q6:X6"/>
    <mergeCell ref="Y6:AF6"/>
    <mergeCell ref="AG6:AN6"/>
    <mergeCell ref="A7:H7"/>
    <mergeCell ref="I7:P7"/>
    <mergeCell ref="Q7:X7"/>
    <mergeCell ref="Y7:AF7"/>
    <mergeCell ref="AG7:AN7"/>
    <mergeCell ref="A5:H5"/>
    <mergeCell ref="I5:P5"/>
    <mergeCell ref="Q5:X5"/>
    <mergeCell ref="Y5:AF5"/>
    <mergeCell ref="AG1:AH1"/>
    <mergeCell ref="AL1:AN1"/>
    <mergeCell ref="E2:H2"/>
    <mergeCell ref="M2:P2"/>
    <mergeCell ref="U2:X2"/>
    <mergeCell ref="AC2:AF2"/>
    <mergeCell ref="AK2:AN2"/>
    <mergeCell ref="A4:H4"/>
    <mergeCell ref="I4:P4"/>
    <mergeCell ref="Q4:X4"/>
    <mergeCell ref="Y4:AF4"/>
    <mergeCell ref="AG4:AN4"/>
    <mergeCell ref="N1:P1"/>
    <mergeCell ref="Q1:R1"/>
    <mergeCell ref="V1:X1"/>
    <mergeCell ref="Y1:Z1"/>
    <mergeCell ref="Y8:AF8"/>
    <mergeCell ref="AD1:AF1"/>
    <mergeCell ref="B146:C146"/>
    <mergeCell ref="A1:B1"/>
    <mergeCell ref="F1:H1"/>
    <mergeCell ref="I1:J1"/>
    <mergeCell ref="A42:B42"/>
    <mergeCell ref="F42:H42"/>
    <mergeCell ref="I42:J42"/>
    <mergeCell ref="N42:P42"/>
    <mergeCell ref="E43:H43"/>
    <mergeCell ref="M43:P43"/>
    <mergeCell ref="A47:H47"/>
    <mergeCell ref="I47:P47"/>
    <mergeCell ref="B51:C53"/>
    <mergeCell ref="D51:G51"/>
    <mergeCell ref="J51:K53"/>
    <mergeCell ref="B142:C142"/>
    <mergeCell ref="B143:C143"/>
    <mergeCell ref="B144:C144"/>
    <mergeCell ref="B13:C13"/>
    <mergeCell ref="J13:K13"/>
    <mergeCell ref="Y42:Z42"/>
    <mergeCell ref="AD42:AF42"/>
  </mergeCells>
  <pageMargins left="0.7" right="0.7" top="0.75" bottom="0.75" header="0.3" footer="0.3"/>
  <pageSetup paperSize="9" fitToWidth="0"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sqref="A1:S1"/>
    </sheetView>
  </sheetViews>
  <sheetFormatPr defaultRowHeight="15" x14ac:dyDescent="0.25"/>
  <cols>
    <col min="1" max="1" width="65.7109375" style="141" customWidth="1"/>
    <col min="2" max="16" width="9.7109375" style="93" customWidth="1"/>
    <col min="17" max="18" width="9.7109375" style="141" customWidth="1"/>
    <col min="19" max="19" width="9.7109375" style="93" customWidth="1"/>
    <col min="20" max="16384" width="9.140625" style="93"/>
  </cols>
  <sheetData>
    <row r="1" spans="1:19" ht="18.95" customHeight="1" thickBot="1" x14ac:dyDescent="0.3">
      <c r="A1" s="443" t="s">
        <v>0</v>
      </c>
      <c r="B1" s="443"/>
      <c r="C1" s="443"/>
      <c r="D1" s="443"/>
      <c r="E1" s="443"/>
      <c r="F1" s="443"/>
      <c r="G1" s="443"/>
      <c r="H1" s="443"/>
      <c r="I1" s="443"/>
      <c r="J1" s="443"/>
      <c r="K1" s="443"/>
      <c r="L1" s="443"/>
      <c r="M1" s="443"/>
      <c r="N1" s="443"/>
      <c r="O1" s="443"/>
      <c r="P1" s="443"/>
      <c r="Q1" s="443"/>
      <c r="R1" s="443"/>
      <c r="S1" s="443"/>
    </row>
    <row r="2" spans="1:19" ht="18.95" customHeight="1" thickBot="1" x14ac:dyDescent="0.3">
      <c r="A2" s="447" t="s">
        <v>1</v>
      </c>
      <c r="B2" s="444" t="s">
        <v>2</v>
      </c>
      <c r="C2" s="446"/>
      <c r="D2" s="449" t="s">
        <v>3</v>
      </c>
      <c r="E2" s="451" t="s">
        <v>4</v>
      </c>
      <c r="F2" s="452"/>
      <c r="G2" s="452"/>
      <c r="H2" s="453"/>
      <c r="I2" s="451" t="s">
        <v>5</v>
      </c>
      <c r="J2" s="452"/>
      <c r="K2" s="452"/>
      <c r="L2" s="453"/>
      <c r="M2" s="451" t="s">
        <v>6</v>
      </c>
      <c r="N2" s="452"/>
      <c r="O2" s="452"/>
      <c r="P2" s="453"/>
      <c r="Q2" s="444" t="s">
        <v>7</v>
      </c>
      <c r="R2" s="445"/>
      <c r="S2" s="446"/>
    </row>
    <row r="3" spans="1:19" ht="59.1" customHeight="1" thickBot="1" x14ac:dyDescent="0.3">
      <c r="A3" s="448"/>
      <c r="B3" s="2" t="s">
        <v>8</v>
      </c>
      <c r="C3" s="3" t="s">
        <v>9</v>
      </c>
      <c r="D3" s="450"/>
      <c r="E3" s="16" t="s">
        <v>10</v>
      </c>
      <c r="F3" s="16" t="s">
        <v>11</v>
      </c>
      <c r="G3" s="16" t="s">
        <v>12</v>
      </c>
      <c r="H3" s="16" t="s">
        <v>13</v>
      </c>
      <c r="I3" s="5" t="s">
        <v>14</v>
      </c>
      <c r="J3" s="5" t="s">
        <v>15</v>
      </c>
      <c r="K3" s="6" t="s">
        <v>16</v>
      </c>
      <c r="L3" s="5" t="s">
        <v>1002</v>
      </c>
      <c r="M3" s="5" t="s">
        <v>18</v>
      </c>
      <c r="N3" s="5" t="s">
        <v>19</v>
      </c>
      <c r="O3" s="5" t="s">
        <v>20</v>
      </c>
      <c r="P3" s="5" t="s">
        <v>21</v>
      </c>
      <c r="Q3" s="7" t="s">
        <v>22</v>
      </c>
      <c r="R3" s="8" t="s">
        <v>23</v>
      </c>
      <c r="S3" s="3" t="s">
        <v>24</v>
      </c>
    </row>
    <row r="4" spans="1:19" s="94" customFormat="1" ht="18.95" customHeight="1" x14ac:dyDescent="0.25">
      <c r="A4" s="139" t="s">
        <v>153</v>
      </c>
      <c r="B4" s="10" t="s">
        <v>25</v>
      </c>
      <c r="C4" s="10" t="s">
        <v>25</v>
      </c>
      <c r="D4" s="10" t="s">
        <v>25</v>
      </c>
      <c r="E4" s="10" t="s">
        <v>25</v>
      </c>
      <c r="F4" s="10" t="s">
        <v>25</v>
      </c>
      <c r="G4" s="10" t="s">
        <v>25</v>
      </c>
      <c r="H4" s="10" t="s">
        <v>25</v>
      </c>
      <c r="I4" s="10" t="s">
        <v>25</v>
      </c>
      <c r="J4" s="10" t="s">
        <v>25</v>
      </c>
      <c r="K4" s="10" t="s">
        <v>25</v>
      </c>
      <c r="L4" s="10" t="s">
        <v>25</v>
      </c>
      <c r="M4" s="10" t="s">
        <v>25</v>
      </c>
      <c r="N4" s="10" t="s">
        <v>25</v>
      </c>
      <c r="O4" s="10" t="s">
        <v>25</v>
      </c>
      <c r="P4" s="10" t="s">
        <v>25</v>
      </c>
      <c r="Q4" s="130" t="s">
        <v>25</v>
      </c>
      <c r="R4" s="130" t="s">
        <v>25</v>
      </c>
      <c r="S4" s="27"/>
    </row>
    <row r="5" spans="1:19" s="28" customFormat="1" ht="18.95" customHeight="1" x14ac:dyDescent="0.25">
      <c r="A5" s="131" t="s">
        <v>1088</v>
      </c>
      <c r="B5" s="152">
        <v>250</v>
      </c>
      <c r="C5" s="152">
        <v>250</v>
      </c>
      <c r="D5" s="11">
        <f>B5</f>
        <v>250</v>
      </c>
      <c r="E5" s="19">
        <f>E6*D5/D6</f>
        <v>1.8025</v>
      </c>
      <c r="F5" s="19">
        <f>F6*D5/D6</f>
        <v>4.92</v>
      </c>
      <c r="G5" s="19">
        <f>G6*D5/D6</f>
        <v>10.932499999999999</v>
      </c>
      <c r="H5" s="19">
        <f>H6*D5/D6</f>
        <v>103.75</v>
      </c>
      <c r="I5" s="19">
        <f>I6*D5/D6</f>
        <v>0.05</v>
      </c>
      <c r="J5" s="19">
        <f>J6*D5/D6</f>
        <v>10.675000000000001</v>
      </c>
      <c r="K5" s="19">
        <f>K6*D5/D6</f>
        <v>0</v>
      </c>
      <c r="L5" s="19">
        <f>L6*D5/D6</f>
        <v>0</v>
      </c>
      <c r="M5" s="19">
        <f>M6*D5/D6</f>
        <v>49.725000000000001</v>
      </c>
      <c r="N5" s="19">
        <f>N6*D5/D6</f>
        <v>54.6</v>
      </c>
      <c r="O5" s="19">
        <f>O6*D5/D6</f>
        <v>26.125</v>
      </c>
      <c r="P5" s="19">
        <f>P6*D5/D6</f>
        <v>1.2250000000000001</v>
      </c>
      <c r="Q5" s="136">
        <v>82</v>
      </c>
      <c r="R5" s="136">
        <v>2011</v>
      </c>
      <c r="S5" s="22"/>
    </row>
    <row r="6" spans="1:19" s="28" customFormat="1" ht="18.95" customHeight="1" x14ac:dyDescent="0.25">
      <c r="A6" s="131" t="s">
        <v>1129</v>
      </c>
      <c r="B6" s="152"/>
      <c r="C6" s="152"/>
      <c r="D6" s="151">
        <v>1000</v>
      </c>
      <c r="E6" s="151">
        <v>7.21</v>
      </c>
      <c r="F6" s="151">
        <v>19.68</v>
      </c>
      <c r="G6" s="151">
        <v>43.73</v>
      </c>
      <c r="H6" s="151">
        <v>415</v>
      </c>
      <c r="I6" s="151">
        <v>0.2</v>
      </c>
      <c r="J6" s="151">
        <v>42.7</v>
      </c>
      <c r="K6" s="151">
        <v>0</v>
      </c>
      <c r="L6" s="151"/>
      <c r="M6" s="151">
        <v>198.9</v>
      </c>
      <c r="N6" s="151">
        <v>218.4</v>
      </c>
      <c r="O6" s="151">
        <v>104.5</v>
      </c>
      <c r="P6" s="151">
        <v>4.9000000000000004</v>
      </c>
      <c r="Q6" s="136"/>
      <c r="R6" s="136"/>
      <c r="S6" s="22"/>
    </row>
    <row r="7" spans="1:19" ht="18.95" customHeight="1" x14ac:dyDescent="0.25">
      <c r="A7" s="131" t="s">
        <v>1130</v>
      </c>
      <c r="B7" s="152">
        <v>250</v>
      </c>
      <c r="C7" s="152">
        <v>250</v>
      </c>
      <c r="D7" s="11">
        <f>B7</f>
        <v>250</v>
      </c>
      <c r="E7" s="19">
        <f>E8*D7/D8</f>
        <v>1.7649999999999999</v>
      </c>
      <c r="F7" s="19">
        <f>F8*D7/D8</f>
        <v>4.95</v>
      </c>
      <c r="G7" s="19">
        <f>G8*D7/D8</f>
        <v>7.9024999999999999</v>
      </c>
      <c r="H7" s="19">
        <f>H8*D7/D8</f>
        <v>89.75</v>
      </c>
      <c r="I7" s="19">
        <f>I8*D7/D8</f>
        <v>5.7500000000000002E-2</v>
      </c>
      <c r="J7" s="19">
        <f>J8*D7/D8</f>
        <v>15.775</v>
      </c>
      <c r="K7" s="19">
        <f>K8*D7/D8</f>
        <v>0</v>
      </c>
      <c r="L7" s="19">
        <f>L8*D7/D8</f>
        <v>0</v>
      </c>
      <c r="M7" s="19">
        <f>M8*D7/D8</f>
        <v>49.25</v>
      </c>
      <c r="N7" s="19">
        <f>N8*D7/D8</f>
        <v>49</v>
      </c>
      <c r="O7" s="19">
        <f>O8*D7/D8</f>
        <v>22.125</v>
      </c>
      <c r="P7" s="19">
        <f>P8*D7/D8</f>
        <v>0.82499999999999996</v>
      </c>
      <c r="Q7" s="136">
        <v>88</v>
      </c>
      <c r="R7" s="136">
        <v>2011</v>
      </c>
      <c r="S7" s="98"/>
    </row>
    <row r="8" spans="1:19" ht="18.95" customHeight="1" x14ac:dyDescent="0.25">
      <c r="A8" s="131" t="s">
        <v>1089</v>
      </c>
      <c r="B8" s="152"/>
      <c r="C8" s="152"/>
      <c r="D8" s="151">
        <v>1000</v>
      </c>
      <c r="E8" s="151">
        <v>7.06</v>
      </c>
      <c r="F8" s="151">
        <v>19.8</v>
      </c>
      <c r="G8" s="151">
        <v>31.61</v>
      </c>
      <c r="H8" s="151">
        <v>359</v>
      </c>
      <c r="I8" s="151">
        <v>0.23</v>
      </c>
      <c r="J8" s="151">
        <v>63.1</v>
      </c>
      <c r="K8" s="151">
        <v>0</v>
      </c>
      <c r="L8" s="151"/>
      <c r="M8" s="151">
        <v>197</v>
      </c>
      <c r="N8" s="151">
        <v>196</v>
      </c>
      <c r="O8" s="151">
        <v>88.5</v>
      </c>
      <c r="P8" s="151">
        <v>3.3</v>
      </c>
      <c r="Q8" s="136"/>
      <c r="R8" s="136"/>
      <c r="S8" s="22"/>
    </row>
    <row r="9" spans="1:19" ht="18.95" customHeight="1" x14ac:dyDescent="0.25">
      <c r="A9" s="131" t="s">
        <v>154</v>
      </c>
      <c r="B9" s="152">
        <v>250</v>
      </c>
      <c r="C9" s="152">
        <v>250</v>
      </c>
      <c r="D9" s="11">
        <f>B9</f>
        <v>250</v>
      </c>
      <c r="E9" s="19">
        <f>E10*D9/D10</f>
        <v>2.0924999999999998</v>
      </c>
      <c r="F9" s="19">
        <f>F10*D9/D10</f>
        <v>5.0925000000000002</v>
      </c>
      <c r="G9" s="19">
        <f>G10*D9/D10</f>
        <v>12.69</v>
      </c>
      <c r="H9" s="19">
        <f>H10*D9/D10</f>
        <v>114.5</v>
      </c>
      <c r="I9" s="19">
        <f>I10*D9/D10</f>
        <v>0.1</v>
      </c>
      <c r="J9" s="19">
        <f>J10*D9/D10</f>
        <v>13.125</v>
      </c>
      <c r="K9" s="19">
        <f>K10*D9/D10</f>
        <v>0</v>
      </c>
      <c r="L9" s="19">
        <f>L10*D9/D10</f>
        <v>0</v>
      </c>
      <c r="M9" s="19">
        <f>M10*D9/D10</f>
        <v>39.75</v>
      </c>
      <c r="N9" s="19">
        <f>N10*D9/D10</f>
        <v>65.825000000000003</v>
      </c>
      <c r="O9" s="19">
        <f>O10*D9/D10</f>
        <v>28.074999999999999</v>
      </c>
      <c r="P9" s="19">
        <f>P10*D9/D10</f>
        <v>1.075</v>
      </c>
      <c r="Q9" s="136">
        <v>95</v>
      </c>
      <c r="R9" s="136">
        <v>2011</v>
      </c>
      <c r="S9" s="22"/>
    </row>
    <row r="10" spans="1:19" ht="18.95" customHeight="1" x14ac:dyDescent="0.25">
      <c r="A10" s="140"/>
      <c r="B10" s="152"/>
      <c r="C10" s="152"/>
      <c r="D10" s="151">
        <v>1000</v>
      </c>
      <c r="E10" s="151">
        <v>8.3699999999999992</v>
      </c>
      <c r="F10" s="151">
        <v>20.37</v>
      </c>
      <c r="G10" s="151">
        <v>50.76</v>
      </c>
      <c r="H10" s="151">
        <v>458</v>
      </c>
      <c r="I10" s="151">
        <v>0.4</v>
      </c>
      <c r="J10" s="151">
        <v>52.5</v>
      </c>
      <c r="K10" s="151">
        <v>0</v>
      </c>
      <c r="L10" s="151"/>
      <c r="M10" s="151">
        <v>159</v>
      </c>
      <c r="N10" s="151">
        <v>263.3</v>
      </c>
      <c r="O10" s="151">
        <v>112.3</v>
      </c>
      <c r="P10" s="151">
        <v>4.3</v>
      </c>
      <c r="Q10" s="136"/>
      <c r="R10" s="136"/>
      <c r="S10" s="22"/>
    </row>
    <row r="11" spans="1:19" s="28" customFormat="1" ht="18.95" customHeight="1" x14ac:dyDescent="0.25">
      <c r="A11" s="131" t="s">
        <v>43</v>
      </c>
      <c r="B11" s="152">
        <v>250</v>
      </c>
      <c r="C11" s="152">
        <v>250</v>
      </c>
      <c r="D11" s="11">
        <f>B11</f>
        <v>250</v>
      </c>
      <c r="E11" s="19">
        <f>E12*D11/D12</f>
        <v>2.0175000000000001</v>
      </c>
      <c r="F11" s="19">
        <f>F12*D11/D12</f>
        <v>5.09</v>
      </c>
      <c r="G11" s="19">
        <f>G12*D11/D12</f>
        <v>11.98</v>
      </c>
      <c r="H11" s="19">
        <f>H12*D11/D12</f>
        <v>107.25</v>
      </c>
      <c r="I11" s="19">
        <f>I12*D11/D12</f>
        <v>9.2499999999999999E-2</v>
      </c>
      <c r="J11" s="19">
        <f>J12*D11/D12</f>
        <v>8.375</v>
      </c>
      <c r="K11" s="19">
        <f>K12*D11/D12</f>
        <v>0</v>
      </c>
      <c r="L11" s="19">
        <f>L12*D11/D12</f>
        <v>0</v>
      </c>
      <c r="M11" s="19">
        <f>M12*D11/D12</f>
        <v>29.15</v>
      </c>
      <c r="N11" s="19">
        <f>N12*D11/D12</f>
        <v>56.725000000000001</v>
      </c>
      <c r="O11" s="19">
        <f>O12*D11/D12</f>
        <v>24.175000000000001</v>
      </c>
      <c r="P11" s="19">
        <f>P12*D11/D12</f>
        <v>0.92500000000000004</v>
      </c>
      <c r="Q11" s="136">
        <v>96</v>
      </c>
      <c r="R11" s="136">
        <v>2011</v>
      </c>
      <c r="S11" s="22"/>
    </row>
    <row r="12" spans="1:19" s="28" customFormat="1" ht="18.95" customHeight="1" x14ac:dyDescent="0.25">
      <c r="A12" s="131"/>
      <c r="B12" s="152"/>
      <c r="C12" s="152"/>
      <c r="D12" s="152">
        <v>1000</v>
      </c>
      <c r="E12" s="151">
        <v>8.07</v>
      </c>
      <c r="F12" s="151">
        <v>20.36</v>
      </c>
      <c r="G12" s="151">
        <v>47.92</v>
      </c>
      <c r="H12" s="151">
        <v>429</v>
      </c>
      <c r="I12" s="151">
        <v>0.37</v>
      </c>
      <c r="J12" s="151">
        <v>33.5</v>
      </c>
      <c r="K12" s="151">
        <v>0</v>
      </c>
      <c r="L12" s="151"/>
      <c r="M12" s="151">
        <v>116.6</v>
      </c>
      <c r="N12" s="151">
        <v>226.9</v>
      </c>
      <c r="O12" s="151">
        <v>96.7</v>
      </c>
      <c r="P12" s="151">
        <v>3.7</v>
      </c>
      <c r="Q12" s="170"/>
      <c r="R12" s="170"/>
      <c r="S12" s="22"/>
    </row>
    <row r="13" spans="1:19" s="104" customFormat="1" ht="18.95" customHeight="1" x14ac:dyDescent="0.25">
      <c r="A13" s="131" t="s">
        <v>44</v>
      </c>
      <c r="B13" s="152">
        <v>250</v>
      </c>
      <c r="C13" s="152">
        <v>250</v>
      </c>
      <c r="D13" s="11">
        <f>B13</f>
        <v>250</v>
      </c>
      <c r="E13" s="19">
        <f>E14*D13/D14</f>
        <v>1.5874999999999999</v>
      </c>
      <c r="F13" s="19">
        <f>F14*D13/D14</f>
        <v>4.9874999999999998</v>
      </c>
      <c r="G13" s="19">
        <f>G14*D13/D14</f>
        <v>9.1475000000000009</v>
      </c>
      <c r="H13" s="19">
        <f>H14*D13/D14</f>
        <v>95.25</v>
      </c>
      <c r="I13" s="19">
        <f>I14*D13/D14</f>
        <v>7.2499999999999995E-2</v>
      </c>
      <c r="J13" s="19">
        <f>J14*D13/D14</f>
        <v>10.375</v>
      </c>
      <c r="K13" s="19">
        <f>K14*D13/D14</f>
        <v>0</v>
      </c>
      <c r="L13" s="19">
        <f>L14*D13/D14</f>
        <v>0</v>
      </c>
      <c r="M13" s="19">
        <f>M14*D13/D14</f>
        <v>34.85</v>
      </c>
      <c r="N13" s="19">
        <f>N14*D13/D14</f>
        <v>49.274999999999999</v>
      </c>
      <c r="O13" s="19">
        <f>O14*D13/D14</f>
        <v>20.75</v>
      </c>
      <c r="P13" s="19">
        <f>P14*D13/D14</f>
        <v>0.77500000000000002</v>
      </c>
      <c r="Q13" s="136">
        <v>99</v>
      </c>
      <c r="R13" s="136">
        <v>2011</v>
      </c>
      <c r="S13" s="98"/>
    </row>
    <row r="14" spans="1:19" s="28" customFormat="1" ht="18.95" customHeight="1" x14ac:dyDescent="0.25">
      <c r="A14" s="133" t="s">
        <v>1074</v>
      </c>
      <c r="B14" s="152"/>
      <c r="C14" s="152"/>
      <c r="D14" s="151">
        <v>1000</v>
      </c>
      <c r="E14" s="151">
        <v>6.35</v>
      </c>
      <c r="F14" s="151">
        <v>19.95</v>
      </c>
      <c r="G14" s="151">
        <v>36.590000000000003</v>
      </c>
      <c r="H14" s="151">
        <v>381</v>
      </c>
      <c r="I14" s="151">
        <v>0.28999999999999998</v>
      </c>
      <c r="J14" s="151">
        <v>41.5</v>
      </c>
      <c r="K14" s="151">
        <v>0</v>
      </c>
      <c r="L14" s="151"/>
      <c r="M14" s="151">
        <v>139.4</v>
      </c>
      <c r="N14" s="151">
        <v>197.1</v>
      </c>
      <c r="O14" s="151">
        <v>83</v>
      </c>
      <c r="P14" s="151">
        <v>3.1</v>
      </c>
      <c r="Q14" s="136"/>
      <c r="R14" s="136"/>
      <c r="S14" s="22"/>
    </row>
    <row r="15" spans="1:19" s="104" customFormat="1" ht="18.95" customHeight="1" x14ac:dyDescent="0.25">
      <c r="A15" s="131" t="s">
        <v>45</v>
      </c>
      <c r="B15" s="152">
        <v>250</v>
      </c>
      <c r="C15" s="152">
        <v>250</v>
      </c>
      <c r="D15" s="11">
        <f>B15</f>
        <v>250</v>
      </c>
      <c r="E15" s="19">
        <f>E16*D15/D16</f>
        <v>1.9724999999999999</v>
      </c>
      <c r="F15" s="19">
        <f>F16*D15/D16</f>
        <v>2.7124999999999999</v>
      </c>
      <c r="G15" s="19">
        <f>G16*D15/D16</f>
        <v>12.112500000000001</v>
      </c>
      <c r="H15" s="19">
        <f>H16*D15/D16</f>
        <v>85.75</v>
      </c>
      <c r="I15" s="19">
        <f>I16*D15/D16</f>
        <v>0.09</v>
      </c>
      <c r="J15" s="19">
        <f>J16*D15/D16</f>
        <v>8.25</v>
      </c>
      <c r="K15" s="19">
        <f>K16*D15/D16</f>
        <v>0</v>
      </c>
      <c r="L15" s="19">
        <f>L16*D15/D16</f>
        <v>0</v>
      </c>
      <c r="M15" s="19">
        <f>M16*D15/D16</f>
        <v>26.7</v>
      </c>
      <c r="N15" s="19">
        <f>N16*D15/D16</f>
        <v>55.975000000000001</v>
      </c>
      <c r="O15" s="19">
        <f>O16*D15/D16</f>
        <v>22.774999999999999</v>
      </c>
      <c r="P15" s="19">
        <f>P16*D15/D16</f>
        <v>0.875</v>
      </c>
      <c r="Q15" s="136">
        <v>101</v>
      </c>
      <c r="R15" s="136">
        <v>2011</v>
      </c>
      <c r="S15" s="98"/>
    </row>
    <row r="16" spans="1:19" s="28" customFormat="1" ht="18.95" customHeight="1" x14ac:dyDescent="0.25">
      <c r="A16" s="132"/>
      <c r="B16" s="152"/>
      <c r="C16" s="152"/>
      <c r="D16" s="151">
        <v>1000</v>
      </c>
      <c r="E16" s="151">
        <v>7.89</v>
      </c>
      <c r="F16" s="151">
        <v>10.85</v>
      </c>
      <c r="G16" s="151">
        <v>48.45</v>
      </c>
      <c r="H16" s="151">
        <v>343</v>
      </c>
      <c r="I16" s="151">
        <v>0.36</v>
      </c>
      <c r="J16" s="151">
        <v>33</v>
      </c>
      <c r="K16" s="151">
        <v>0</v>
      </c>
      <c r="L16" s="151"/>
      <c r="M16" s="151">
        <v>106.8</v>
      </c>
      <c r="N16" s="151">
        <v>223.9</v>
      </c>
      <c r="O16" s="151">
        <v>91.1</v>
      </c>
      <c r="P16" s="151">
        <v>3.5</v>
      </c>
      <c r="Q16" s="136"/>
      <c r="R16" s="136"/>
      <c r="S16" s="22"/>
    </row>
    <row r="17" spans="1:19" s="104" customFormat="1" ht="18.95" customHeight="1" x14ac:dyDescent="0.25">
      <c r="A17" s="131" t="s">
        <v>1102</v>
      </c>
      <c r="B17" s="152">
        <v>250</v>
      </c>
      <c r="C17" s="152">
        <v>250</v>
      </c>
      <c r="D17" s="11">
        <f>B17</f>
        <v>250</v>
      </c>
      <c r="E17" s="19">
        <f>E18*D17/D18</f>
        <v>5.49</v>
      </c>
      <c r="F17" s="19">
        <f>F18*D17/D18</f>
        <v>5.27</v>
      </c>
      <c r="G17" s="19">
        <f>G18*D17/D18</f>
        <v>16.535</v>
      </c>
      <c r="H17" s="19">
        <f>H18*D17/D18</f>
        <v>148.25</v>
      </c>
      <c r="I17" s="19">
        <f>I18*D17/D18</f>
        <v>0.22750000000000001</v>
      </c>
      <c r="J17" s="19">
        <f>J18*D17/D18</f>
        <v>5.8250000000000002</v>
      </c>
      <c r="K17" s="19">
        <f>K18*D17/D18</f>
        <v>0</v>
      </c>
      <c r="L17" s="19">
        <f>L18*D17/D18</f>
        <v>0</v>
      </c>
      <c r="M17" s="19">
        <f>M18*D17/D18</f>
        <v>42.674999999999997</v>
      </c>
      <c r="N17" s="19">
        <f>N18*D17/D18</f>
        <v>88.1</v>
      </c>
      <c r="O17" s="19">
        <f>O18*D17/D18</f>
        <v>35.575000000000003</v>
      </c>
      <c r="P17" s="19">
        <f>P18*D17/D18</f>
        <v>2.0499999999999998</v>
      </c>
      <c r="Q17" s="136">
        <v>102</v>
      </c>
      <c r="R17" s="136">
        <v>2011</v>
      </c>
      <c r="S17" s="98"/>
    </row>
    <row r="18" spans="1:19" s="28" customFormat="1" ht="18.95" customHeight="1" x14ac:dyDescent="0.25">
      <c r="A18" s="133" t="s">
        <v>1080</v>
      </c>
      <c r="B18" s="152"/>
      <c r="C18" s="152"/>
      <c r="D18" s="151">
        <v>1000</v>
      </c>
      <c r="E18" s="151">
        <v>21.96</v>
      </c>
      <c r="F18" s="151">
        <v>21.08</v>
      </c>
      <c r="G18" s="151">
        <v>66.14</v>
      </c>
      <c r="H18" s="151">
        <v>593</v>
      </c>
      <c r="I18" s="151">
        <v>0.91</v>
      </c>
      <c r="J18" s="151">
        <v>23.3</v>
      </c>
      <c r="K18" s="151">
        <v>0</v>
      </c>
      <c r="L18" s="151"/>
      <c r="M18" s="151">
        <v>170.7</v>
      </c>
      <c r="N18" s="151">
        <v>352.4</v>
      </c>
      <c r="O18" s="151">
        <v>142.30000000000001</v>
      </c>
      <c r="P18" s="151">
        <v>8.1999999999999993</v>
      </c>
      <c r="Q18" s="136"/>
      <c r="R18" s="136"/>
      <c r="S18" s="22"/>
    </row>
    <row r="19" spans="1:19" ht="18.95" customHeight="1" x14ac:dyDescent="0.25">
      <c r="A19" s="131" t="s">
        <v>46</v>
      </c>
      <c r="B19" s="152">
        <v>250</v>
      </c>
      <c r="C19" s="152">
        <v>250</v>
      </c>
      <c r="D19" s="11">
        <f>B19</f>
        <v>250</v>
      </c>
      <c r="E19" s="19">
        <f>E20*D19/D20</f>
        <v>2.6875</v>
      </c>
      <c r="F19" s="19">
        <f>F20*D19/D20</f>
        <v>2.8374999999999999</v>
      </c>
      <c r="G19" s="19">
        <f>G20*D19/D20</f>
        <v>17.454999999999998</v>
      </c>
      <c r="H19" s="19">
        <f>H20*D19/D20</f>
        <v>118.25</v>
      </c>
      <c r="I19" s="19">
        <f>I20*D19/D20</f>
        <v>0.1125</v>
      </c>
      <c r="J19" s="19">
        <f>J20*D19/D20</f>
        <v>8.25</v>
      </c>
      <c r="K19" s="19">
        <f>K20*D19/D20</f>
        <v>0</v>
      </c>
      <c r="L19" s="19">
        <f>L20*D19/D20</f>
        <v>0</v>
      </c>
      <c r="M19" s="19">
        <f>M20*D19/D20</f>
        <v>29.2</v>
      </c>
      <c r="N19" s="19">
        <f>N20*D19/D20</f>
        <v>67.575000000000003</v>
      </c>
      <c r="O19" s="19">
        <f>O20*D19/D20</f>
        <v>27.274999999999999</v>
      </c>
      <c r="P19" s="19">
        <f>P20*D19/D20</f>
        <v>1.125</v>
      </c>
      <c r="Q19" s="136">
        <v>103</v>
      </c>
      <c r="R19" s="136">
        <v>2011</v>
      </c>
      <c r="S19" s="22"/>
    </row>
    <row r="20" spans="1:19" ht="18.95" customHeight="1" x14ac:dyDescent="0.25">
      <c r="A20" s="132"/>
      <c r="B20" s="152"/>
      <c r="C20" s="152"/>
      <c r="D20" s="151">
        <v>1000</v>
      </c>
      <c r="E20" s="151">
        <v>10.75</v>
      </c>
      <c r="F20" s="151">
        <v>11.35</v>
      </c>
      <c r="G20" s="151">
        <v>69.819999999999993</v>
      </c>
      <c r="H20" s="151">
        <v>473</v>
      </c>
      <c r="I20" s="151">
        <v>0.45</v>
      </c>
      <c r="J20" s="151">
        <v>33</v>
      </c>
      <c r="K20" s="151">
        <v>0</v>
      </c>
      <c r="L20" s="151"/>
      <c r="M20" s="151">
        <v>116.8</v>
      </c>
      <c r="N20" s="151">
        <v>270.3</v>
      </c>
      <c r="O20" s="151">
        <v>109.1</v>
      </c>
      <c r="P20" s="151">
        <v>4.5</v>
      </c>
      <c r="Q20" s="171"/>
      <c r="R20" s="171"/>
      <c r="S20" s="22"/>
    </row>
    <row r="21" spans="1:19" ht="18.95" customHeight="1" x14ac:dyDescent="0.25">
      <c r="A21" s="131" t="s">
        <v>47</v>
      </c>
      <c r="B21" s="152">
        <v>250</v>
      </c>
      <c r="C21" s="152">
        <v>250</v>
      </c>
      <c r="D21" s="11">
        <f>B21</f>
        <v>250</v>
      </c>
      <c r="E21" s="19">
        <f>E22*D21/D22</f>
        <v>3.5575000000000001</v>
      </c>
      <c r="F21" s="19">
        <f>F22*D21/D22</f>
        <v>4.5925000000000002</v>
      </c>
      <c r="G21" s="19">
        <f>G22*D21/D22</f>
        <v>18.7925</v>
      </c>
      <c r="H21" s="19">
        <f>H22*D21/D22</f>
        <v>144.25</v>
      </c>
      <c r="I21" s="19">
        <f>I22*D21/D22</f>
        <v>0.105</v>
      </c>
      <c r="J21" s="19">
        <f>J22*D21/D22</f>
        <v>5.75</v>
      </c>
      <c r="K21" s="19">
        <f>K22*D21/D22</f>
        <v>21.05</v>
      </c>
      <c r="L21" s="19">
        <f>L22*D21/D22</f>
        <v>0</v>
      </c>
      <c r="M21" s="19">
        <f>M22*D21/D22</f>
        <v>3.4</v>
      </c>
      <c r="N21" s="19">
        <f>N22*D21/D22</f>
        <v>72.224999999999994</v>
      </c>
      <c r="O21" s="19">
        <f>O22*D21/D22</f>
        <v>25.35</v>
      </c>
      <c r="P21" s="19">
        <f>P22*D21/D22</f>
        <v>1.175</v>
      </c>
      <c r="Q21" s="136">
        <v>108</v>
      </c>
      <c r="R21" s="136">
        <v>2011</v>
      </c>
      <c r="S21" s="22"/>
    </row>
    <row r="22" spans="1:19" ht="18.95" customHeight="1" x14ac:dyDescent="0.25">
      <c r="A22" s="140"/>
      <c r="B22" s="152"/>
      <c r="C22" s="152"/>
      <c r="D22" s="151">
        <v>1000</v>
      </c>
      <c r="E22" s="151">
        <v>14.23</v>
      </c>
      <c r="F22" s="151">
        <v>18.37</v>
      </c>
      <c r="G22" s="151">
        <v>75.17</v>
      </c>
      <c r="H22" s="151">
        <v>577</v>
      </c>
      <c r="I22" s="151">
        <v>0.42</v>
      </c>
      <c r="J22" s="151">
        <v>23</v>
      </c>
      <c r="K22" s="151">
        <v>84.2</v>
      </c>
      <c r="L22" s="151"/>
      <c r="M22" s="151">
        <v>13.6</v>
      </c>
      <c r="N22" s="151">
        <v>288.89999999999998</v>
      </c>
      <c r="O22" s="151">
        <v>101.4</v>
      </c>
      <c r="P22" s="151">
        <v>4.7</v>
      </c>
      <c r="Q22" s="136"/>
      <c r="R22" s="136"/>
      <c r="S22" s="22"/>
    </row>
    <row r="23" spans="1:19" ht="18.95" customHeight="1" x14ac:dyDescent="0.25">
      <c r="A23" s="131" t="s">
        <v>155</v>
      </c>
      <c r="B23" s="152">
        <v>250</v>
      </c>
      <c r="C23" s="152">
        <v>250</v>
      </c>
      <c r="D23" s="11">
        <f>B23</f>
        <v>250</v>
      </c>
      <c r="E23" s="19">
        <f>E24*D23/D24</f>
        <v>2.5674999999999999</v>
      </c>
      <c r="F23" s="19">
        <f>F24*D23/D24</f>
        <v>2.78</v>
      </c>
      <c r="G23" s="19">
        <f>G24*D23/D24</f>
        <v>15.6875</v>
      </c>
      <c r="H23" s="19">
        <f>H24*D23/D24</f>
        <v>109</v>
      </c>
      <c r="I23" s="19">
        <f>I24*D23/D24</f>
        <v>9.2499999999999999E-2</v>
      </c>
      <c r="J23" s="19">
        <f>J24*D23/D24</f>
        <v>6.0750000000000002</v>
      </c>
      <c r="K23" s="19">
        <f>K24*D23/D24</f>
        <v>0</v>
      </c>
      <c r="L23" s="19">
        <f>L24*D23/D24</f>
        <v>0</v>
      </c>
      <c r="M23" s="19">
        <f>M24*D23/D24</f>
        <v>29.5</v>
      </c>
      <c r="N23" s="19">
        <f>N24*D23/D24</f>
        <v>57.725000000000001</v>
      </c>
      <c r="O23" s="19">
        <f>O24*D23/D24</f>
        <v>23.8</v>
      </c>
      <c r="P23" s="19">
        <f>P24*D23/D24</f>
        <v>1</v>
      </c>
      <c r="Q23" s="136">
        <v>112</v>
      </c>
      <c r="R23" s="136">
        <v>2011</v>
      </c>
      <c r="S23" s="22"/>
    </row>
    <row r="24" spans="1:19" ht="18.95" customHeight="1" x14ac:dyDescent="0.25">
      <c r="A24" s="140"/>
      <c r="B24" s="152"/>
      <c r="C24" s="152"/>
      <c r="D24" s="151">
        <v>1000</v>
      </c>
      <c r="E24" s="151">
        <v>10.27</v>
      </c>
      <c r="F24" s="151">
        <v>11.12</v>
      </c>
      <c r="G24" s="151">
        <v>62.75</v>
      </c>
      <c r="H24" s="151">
        <v>436</v>
      </c>
      <c r="I24" s="151">
        <v>0.37</v>
      </c>
      <c r="J24" s="151">
        <v>24.3</v>
      </c>
      <c r="K24" s="151">
        <v>0</v>
      </c>
      <c r="L24" s="151"/>
      <c r="M24" s="151">
        <v>118</v>
      </c>
      <c r="N24" s="151">
        <v>230.9</v>
      </c>
      <c r="O24" s="151">
        <v>95.2</v>
      </c>
      <c r="P24" s="151">
        <v>4</v>
      </c>
      <c r="Q24" s="136"/>
      <c r="R24" s="136"/>
      <c r="S24" s="22"/>
    </row>
    <row r="25" spans="1:19" s="104" customFormat="1" ht="18.95" customHeight="1" x14ac:dyDescent="0.25">
      <c r="A25" s="131" t="s">
        <v>935</v>
      </c>
      <c r="B25" s="152">
        <v>250</v>
      </c>
      <c r="C25" s="152">
        <v>250</v>
      </c>
      <c r="D25" s="11">
        <f>B25</f>
        <v>250</v>
      </c>
      <c r="E25" s="19">
        <f>E26*D25/D26</f>
        <v>2.5649999999999999</v>
      </c>
      <c r="F25" s="19">
        <f>F26*D25/D26</f>
        <v>5.5425000000000004</v>
      </c>
      <c r="G25" s="19">
        <f>G26*D25/D26</f>
        <v>11.62</v>
      </c>
      <c r="H25" s="19">
        <f>H26*D25/D26</f>
        <v>115.75</v>
      </c>
      <c r="I25" s="19">
        <f>I26*D25/D26</f>
        <v>0.05</v>
      </c>
      <c r="J25" s="19">
        <f>J26*D25/D26</f>
        <v>0.5</v>
      </c>
      <c r="K25" s="19">
        <f>K26*D25/D26</f>
        <v>12.5</v>
      </c>
      <c r="L25" s="19">
        <f>L26*D25/D26</f>
        <v>0</v>
      </c>
      <c r="M25" s="19">
        <f>M26*D25/D26</f>
        <v>28.55</v>
      </c>
      <c r="N25" s="19">
        <f>N26*D25/D26</f>
        <v>38.5</v>
      </c>
      <c r="O25" s="19">
        <f>O26*D25/D26</f>
        <v>10.675000000000001</v>
      </c>
      <c r="P25" s="19">
        <f>P26*D25/D26</f>
        <v>0.65</v>
      </c>
      <c r="Q25" s="136">
        <v>113</v>
      </c>
      <c r="R25" s="136">
        <v>2011</v>
      </c>
      <c r="S25" s="98"/>
    </row>
    <row r="26" spans="1:19" s="28" customFormat="1" ht="18.95" customHeight="1" x14ac:dyDescent="0.25">
      <c r="A26" s="169"/>
      <c r="B26" s="152"/>
      <c r="C26" s="152"/>
      <c r="D26" s="151">
        <v>1000</v>
      </c>
      <c r="E26" s="151">
        <v>10.26</v>
      </c>
      <c r="F26" s="151">
        <v>22.17</v>
      </c>
      <c r="G26" s="151">
        <v>46.48</v>
      </c>
      <c r="H26" s="151">
        <v>463</v>
      </c>
      <c r="I26" s="151">
        <v>0.2</v>
      </c>
      <c r="J26" s="151">
        <v>2</v>
      </c>
      <c r="K26" s="151">
        <v>50</v>
      </c>
      <c r="L26" s="151"/>
      <c r="M26" s="151">
        <v>114.2</v>
      </c>
      <c r="N26" s="151">
        <v>154</v>
      </c>
      <c r="O26" s="151">
        <v>42.7</v>
      </c>
      <c r="P26" s="151">
        <v>2.6</v>
      </c>
      <c r="Q26" s="172"/>
      <c r="R26" s="136"/>
      <c r="S26" s="22"/>
    </row>
    <row r="27" spans="1:19" s="104" customFormat="1" ht="18.95" customHeight="1" x14ac:dyDescent="0.25">
      <c r="A27" s="131" t="s">
        <v>48</v>
      </c>
      <c r="B27" s="152">
        <v>250</v>
      </c>
      <c r="C27" s="152">
        <v>250</v>
      </c>
      <c r="D27" s="11">
        <f>B27</f>
        <v>250</v>
      </c>
      <c r="E27" s="19">
        <f>E28*D27/D28</f>
        <v>5.47</v>
      </c>
      <c r="F27" s="19">
        <f>F28*D27/D28</f>
        <v>4.7450000000000001</v>
      </c>
      <c r="G27" s="19">
        <f>G28*D27/D28</f>
        <v>17.954999999999998</v>
      </c>
      <c r="H27" s="19">
        <f>H28*D27/D28</f>
        <v>150</v>
      </c>
      <c r="I27" s="19">
        <f>I28*D27/D28</f>
        <v>0.09</v>
      </c>
      <c r="J27" s="19">
        <f>J28*D27/D28</f>
        <v>0.82499999999999996</v>
      </c>
      <c r="K27" s="19">
        <f>K28*D27/D28</f>
        <v>33</v>
      </c>
      <c r="L27" s="19">
        <f>L28*D27/D28</f>
        <v>0</v>
      </c>
      <c r="M27" s="19">
        <f>M28*D27/D28</f>
        <v>163</v>
      </c>
      <c r="N27" s="19">
        <f>N28*D27/D28</f>
        <v>136.875</v>
      </c>
      <c r="O27" s="19">
        <f>O28*D27/D28</f>
        <v>26.675000000000001</v>
      </c>
      <c r="P27" s="19">
        <f>P28*D27/D28</f>
        <v>0.65</v>
      </c>
      <c r="Q27" s="136">
        <v>120</v>
      </c>
      <c r="R27" s="136">
        <v>1011</v>
      </c>
      <c r="S27" s="98"/>
    </row>
    <row r="28" spans="1:19" s="28" customFormat="1" ht="18.95" customHeight="1" x14ac:dyDescent="0.25">
      <c r="A28" s="132"/>
      <c r="B28" s="152"/>
      <c r="C28" s="152"/>
      <c r="D28" s="151">
        <v>1000</v>
      </c>
      <c r="E28" s="151">
        <v>21.88</v>
      </c>
      <c r="F28" s="151">
        <v>18.98</v>
      </c>
      <c r="G28" s="151">
        <v>71.819999999999993</v>
      </c>
      <c r="H28" s="151">
        <v>600</v>
      </c>
      <c r="I28" s="151">
        <v>0.36</v>
      </c>
      <c r="J28" s="151">
        <v>3.3</v>
      </c>
      <c r="K28" s="151">
        <v>132</v>
      </c>
      <c r="L28" s="151"/>
      <c r="M28" s="151">
        <v>652</v>
      </c>
      <c r="N28" s="151">
        <v>547.5</v>
      </c>
      <c r="O28" s="151">
        <v>106.7</v>
      </c>
      <c r="P28" s="151">
        <v>2.6</v>
      </c>
      <c r="Q28" s="136"/>
      <c r="R28" s="136"/>
      <c r="S28" s="22"/>
    </row>
  </sheetData>
  <mergeCells count="8">
    <mergeCell ref="A1:S1"/>
    <mergeCell ref="Q2:S2"/>
    <mergeCell ref="A2:A3"/>
    <mergeCell ref="B2:C2"/>
    <mergeCell ref="D2:D3"/>
    <mergeCell ref="E2:H2"/>
    <mergeCell ref="I2:L2"/>
    <mergeCell ref="M2:P2"/>
  </mergeCells>
  <dataValidations count="1">
    <dataValidation type="list" allowBlank="1" showInputMessage="1" showErrorMessage="1" sqref="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formula1>$B$440:$B$457</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workbookViewId="0">
      <selection sqref="A1:B1"/>
    </sheetView>
  </sheetViews>
  <sheetFormatPr defaultRowHeight="12.75" x14ac:dyDescent="0.25"/>
  <cols>
    <col min="1" max="41" width="10.7109375" style="125" customWidth="1"/>
    <col min="42" max="16384" width="9.140625" style="125"/>
  </cols>
  <sheetData>
    <row r="1" spans="1:40" x14ac:dyDescent="0.25">
      <c r="A1" s="454" t="s">
        <v>214</v>
      </c>
      <c r="B1" s="454"/>
      <c r="F1" s="454" t="s">
        <v>215</v>
      </c>
      <c r="G1" s="454"/>
      <c r="H1" s="454"/>
      <c r="I1" s="454" t="s">
        <v>214</v>
      </c>
      <c r="J1" s="454"/>
      <c r="N1" s="454" t="s">
        <v>215</v>
      </c>
      <c r="O1" s="454"/>
      <c r="P1" s="454"/>
      <c r="Q1" s="454" t="s">
        <v>214</v>
      </c>
      <c r="R1" s="454"/>
      <c r="V1" s="454" t="s">
        <v>215</v>
      </c>
      <c r="W1" s="454"/>
      <c r="X1" s="454"/>
      <c r="Y1" s="454" t="s">
        <v>214</v>
      </c>
      <c r="Z1" s="454"/>
      <c r="AD1" s="454" t="s">
        <v>215</v>
      </c>
      <c r="AE1" s="454"/>
      <c r="AF1" s="454"/>
      <c r="AG1" s="454" t="s">
        <v>214</v>
      </c>
      <c r="AH1" s="454"/>
      <c r="AL1" s="454" t="s">
        <v>215</v>
      </c>
      <c r="AM1" s="454"/>
      <c r="AN1" s="454"/>
    </row>
    <row r="2" spans="1:40" x14ac:dyDescent="0.25">
      <c r="E2" s="454" t="s">
        <v>216</v>
      </c>
      <c r="F2" s="454"/>
      <c r="G2" s="454"/>
      <c r="H2" s="454"/>
      <c r="M2" s="454" t="s">
        <v>216</v>
      </c>
      <c r="N2" s="454"/>
      <c r="O2" s="454"/>
      <c r="P2" s="454"/>
      <c r="U2" s="454" t="s">
        <v>216</v>
      </c>
      <c r="V2" s="454"/>
      <c r="W2" s="454"/>
      <c r="X2" s="454"/>
      <c r="AC2" s="454" t="s">
        <v>216</v>
      </c>
      <c r="AD2" s="454"/>
      <c r="AE2" s="454"/>
      <c r="AF2" s="454"/>
      <c r="AK2" s="454" t="s">
        <v>216</v>
      </c>
      <c r="AL2" s="454"/>
      <c r="AM2" s="454"/>
      <c r="AN2" s="454"/>
    </row>
    <row r="3" spans="1:40" x14ac:dyDescent="0.25">
      <c r="E3" s="161"/>
      <c r="F3" s="161"/>
      <c r="G3" s="161"/>
      <c r="H3" s="161"/>
      <c r="M3" s="161"/>
      <c r="N3" s="161"/>
      <c r="O3" s="161"/>
      <c r="P3" s="161"/>
      <c r="U3" s="161"/>
      <c r="V3" s="161"/>
      <c r="W3" s="161"/>
      <c r="X3" s="161"/>
      <c r="AC3" s="161"/>
      <c r="AD3" s="161"/>
      <c r="AE3" s="161"/>
      <c r="AF3" s="161"/>
      <c r="AK3" s="161"/>
      <c r="AL3" s="161"/>
      <c r="AM3" s="161"/>
      <c r="AN3" s="161"/>
    </row>
    <row r="4" spans="1:40" ht="18.95" customHeight="1" x14ac:dyDescent="0.25">
      <c r="A4" s="414" t="s">
        <v>626</v>
      </c>
      <c r="B4" s="414"/>
      <c r="C4" s="414"/>
      <c r="D4" s="414"/>
      <c r="E4" s="414"/>
      <c r="F4" s="414"/>
      <c r="G4" s="414"/>
      <c r="H4" s="414"/>
      <c r="I4" s="414" t="s">
        <v>627</v>
      </c>
      <c r="J4" s="414"/>
      <c r="K4" s="414"/>
      <c r="L4" s="414"/>
      <c r="M4" s="414"/>
      <c r="N4" s="414"/>
      <c r="O4" s="414"/>
      <c r="P4" s="414"/>
      <c r="Q4" s="414" t="s">
        <v>628</v>
      </c>
      <c r="R4" s="414"/>
      <c r="S4" s="414"/>
      <c r="T4" s="414"/>
      <c r="U4" s="414"/>
      <c r="V4" s="414"/>
      <c r="W4" s="414"/>
      <c r="X4" s="414"/>
      <c r="Y4" s="414" t="s">
        <v>629</v>
      </c>
      <c r="Z4" s="414"/>
      <c r="AA4" s="414"/>
      <c r="AB4" s="414"/>
      <c r="AC4" s="414"/>
      <c r="AD4" s="414"/>
      <c r="AE4" s="414"/>
      <c r="AF4" s="414"/>
      <c r="AG4" s="414" t="s">
        <v>630</v>
      </c>
      <c r="AH4" s="414"/>
      <c r="AI4" s="414"/>
      <c r="AJ4" s="414"/>
      <c r="AK4" s="414"/>
      <c r="AL4" s="414"/>
      <c r="AM4" s="414"/>
      <c r="AN4" s="414"/>
    </row>
    <row r="5" spans="1:40" ht="18.95" customHeight="1" x14ac:dyDescent="0.25">
      <c r="A5" s="473" t="s">
        <v>551</v>
      </c>
      <c r="B5" s="465"/>
      <c r="C5" s="465"/>
      <c r="D5" s="465"/>
      <c r="E5" s="465"/>
      <c r="F5" s="465"/>
      <c r="G5" s="465"/>
      <c r="H5" s="465"/>
      <c r="I5" s="473" t="s">
        <v>552</v>
      </c>
      <c r="J5" s="465"/>
      <c r="K5" s="465"/>
      <c r="L5" s="465"/>
      <c r="M5" s="465"/>
      <c r="N5" s="465"/>
      <c r="O5" s="465"/>
      <c r="P5" s="465"/>
      <c r="Q5" s="473" t="s">
        <v>553</v>
      </c>
      <c r="R5" s="465"/>
      <c r="S5" s="465"/>
      <c r="T5" s="465"/>
      <c r="U5" s="465"/>
      <c r="V5" s="465"/>
      <c r="W5" s="465"/>
      <c r="X5" s="465"/>
      <c r="Y5" s="473" t="s">
        <v>554</v>
      </c>
      <c r="Z5" s="465"/>
      <c r="AA5" s="465"/>
      <c r="AB5" s="465"/>
      <c r="AC5" s="465"/>
      <c r="AD5" s="465"/>
      <c r="AE5" s="465"/>
      <c r="AF5" s="465"/>
      <c r="AG5" s="473" t="s">
        <v>934</v>
      </c>
      <c r="AH5" s="465"/>
      <c r="AI5" s="465"/>
      <c r="AJ5" s="465"/>
      <c r="AK5" s="465"/>
      <c r="AL5" s="465"/>
      <c r="AM5" s="465"/>
      <c r="AN5" s="465"/>
    </row>
    <row r="6" spans="1:40" ht="18.95" customHeight="1" x14ac:dyDescent="0.25">
      <c r="A6" s="473" t="s">
        <v>540</v>
      </c>
      <c r="B6" s="473"/>
      <c r="C6" s="473"/>
      <c r="D6" s="473"/>
      <c r="E6" s="473"/>
      <c r="F6" s="473"/>
      <c r="G6" s="473"/>
      <c r="H6" s="473"/>
      <c r="I6" s="473" t="s">
        <v>541</v>
      </c>
      <c r="J6" s="473"/>
      <c r="K6" s="473"/>
      <c r="L6" s="473"/>
      <c r="M6" s="473"/>
      <c r="N6" s="473"/>
      <c r="O6" s="473"/>
      <c r="P6" s="473"/>
      <c r="Q6" s="473" t="s">
        <v>542</v>
      </c>
      <c r="R6" s="473"/>
      <c r="S6" s="473"/>
      <c r="T6" s="473"/>
      <c r="U6" s="473"/>
      <c r="V6" s="473"/>
      <c r="W6" s="473"/>
      <c r="X6" s="473"/>
      <c r="Y6" s="473" t="s">
        <v>543</v>
      </c>
      <c r="Z6" s="473"/>
      <c r="AA6" s="473"/>
      <c r="AB6" s="473"/>
      <c r="AC6" s="473"/>
      <c r="AD6" s="473"/>
      <c r="AE6" s="473"/>
      <c r="AF6" s="473"/>
      <c r="AG6" s="473" t="s">
        <v>544</v>
      </c>
      <c r="AH6" s="473"/>
      <c r="AI6" s="473"/>
      <c r="AJ6" s="473"/>
      <c r="AK6" s="473"/>
      <c r="AL6" s="473"/>
      <c r="AM6" s="473"/>
      <c r="AN6" s="473"/>
    </row>
    <row r="7" spans="1:40" ht="18.95" customHeight="1" x14ac:dyDescent="0.25">
      <c r="A7" s="465" t="s">
        <v>189</v>
      </c>
      <c r="B7" s="465"/>
      <c r="C7" s="465"/>
      <c r="D7" s="465"/>
      <c r="E7" s="465"/>
      <c r="F7" s="465"/>
      <c r="G7" s="465"/>
      <c r="H7" s="465"/>
      <c r="I7" s="465" t="s">
        <v>189</v>
      </c>
      <c r="J7" s="465"/>
      <c r="K7" s="465"/>
      <c r="L7" s="465"/>
      <c r="M7" s="465"/>
      <c r="N7" s="465"/>
      <c r="O7" s="465"/>
      <c r="P7" s="465"/>
      <c r="Q7" s="465" t="s">
        <v>189</v>
      </c>
      <c r="R7" s="465"/>
      <c r="S7" s="465"/>
      <c r="T7" s="465"/>
      <c r="U7" s="465"/>
      <c r="V7" s="465"/>
      <c r="W7" s="465"/>
      <c r="X7" s="465"/>
      <c r="Y7" s="465" t="s">
        <v>189</v>
      </c>
      <c r="Z7" s="465"/>
      <c r="AA7" s="465"/>
      <c r="AB7" s="465"/>
      <c r="AC7" s="465"/>
      <c r="AD7" s="465"/>
      <c r="AE7" s="465"/>
      <c r="AF7" s="465"/>
      <c r="AG7" s="465" t="s">
        <v>189</v>
      </c>
      <c r="AH7" s="465"/>
      <c r="AI7" s="465"/>
      <c r="AJ7" s="465"/>
      <c r="AK7" s="465"/>
      <c r="AL7" s="465"/>
      <c r="AM7" s="465"/>
      <c r="AN7" s="465"/>
    </row>
    <row r="8" spans="1:40" ht="18.95" customHeight="1" x14ac:dyDescent="0.25">
      <c r="A8" s="465" t="s">
        <v>190</v>
      </c>
      <c r="B8" s="465"/>
      <c r="C8" s="465"/>
      <c r="D8" s="465"/>
      <c r="E8" s="465"/>
      <c r="F8" s="465"/>
      <c r="G8" s="465"/>
      <c r="H8" s="465"/>
      <c r="I8" s="465" t="s">
        <v>190</v>
      </c>
      <c r="J8" s="465"/>
      <c r="K8" s="465"/>
      <c r="L8" s="465"/>
      <c r="M8" s="465"/>
      <c r="N8" s="465"/>
      <c r="O8" s="465"/>
      <c r="P8" s="465"/>
      <c r="Q8" s="465" t="s">
        <v>190</v>
      </c>
      <c r="R8" s="465"/>
      <c r="S8" s="465"/>
      <c r="T8" s="465"/>
      <c r="U8" s="465"/>
      <c r="V8" s="465"/>
      <c r="W8" s="465"/>
      <c r="X8" s="465"/>
      <c r="Y8" s="465" t="s">
        <v>190</v>
      </c>
      <c r="Z8" s="465"/>
      <c r="AA8" s="465"/>
      <c r="AB8" s="465"/>
      <c r="AC8" s="465"/>
      <c r="AD8" s="465"/>
      <c r="AE8" s="465"/>
      <c r="AF8" s="465"/>
      <c r="AG8" s="465" t="s">
        <v>190</v>
      </c>
      <c r="AH8" s="465"/>
      <c r="AI8" s="465"/>
      <c r="AJ8" s="465"/>
      <c r="AK8" s="465"/>
      <c r="AL8" s="465"/>
      <c r="AM8" s="465"/>
      <c r="AN8" s="465"/>
    </row>
    <row r="9" spans="1:40" ht="18.95" customHeight="1" x14ac:dyDescent="0.25">
      <c r="C9" s="159"/>
      <c r="K9" s="159"/>
      <c r="S9" s="159"/>
      <c r="AA9" s="159"/>
      <c r="AI9" s="159"/>
    </row>
    <row r="10" spans="1:40" ht="18.95" customHeight="1" x14ac:dyDescent="0.25">
      <c r="B10" s="466" t="s">
        <v>174</v>
      </c>
      <c r="C10" s="467"/>
      <c r="D10" s="412" t="s">
        <v>179</v>
      </c>
      <c r="E10" s="412"/>
      <c r="F10" s="412"/>
      <c r="G10" s="412"/>
      <c r="J10" s="466" t="s">
        <v>174</v>
      </c>
      <c r="K10" s="467"/>
      <c r="L10" s="412" t="s">
        <v>179</v>
      </c>
      <c r="M10" s="412"/>
      <c r="N10" s="412"/>
      <c r="O10" s="412"/>
      <c r="R10" s="466" t="s">
        <v>174</v>
      </c>
      <c r="S10" s="467"/>
      <c r="T10" s="412" t="s">
        <v>179</v>
      </c>
      <c r="U10" s="412"/>
      <c r="V10" s="412"/>
      <c r="W10" s="412"/>
      <c r="Z10" s="466" t="s">
        <v>174</v>
      </c>
      <c r="AA10" s="467"/>
      <c r="AB10" s="412" t="s">
        <v>179</v>
      </c>
      <c r="AC10" s="412"/>
      <c r="AD10" s="412"/>
      <c r="AE10" s="412"/>
      <c r="AH10" s="466" t="s">
        <v>174</v>
      </c>
      <c r="AI10" s="467"/>
      <c r="AJ10" s="412" t="s">
        <v>179</v>
      </c>
      <c r="AK10" s="412"/>
      <c r="AL10" s="412"/>
      <c r="AM10" s="412"/>
    </row>
    <row r="11" spans="1:40" ht="18.95" customHeight="1" x14ac:dyDescent="0.25">
      <c r="B11" s="468"/>
      <c r="C11" s="469"/>
      <c r="D11" s="412" t="s">
        <v>177</v>
      </c>
      <c r="E11" s="412"/>
      <c r="F11" s="412" t="s">
        <v>178</v>
      </c>
      <c r="G11" s="412"/>
      <c r="J11" s="468"/>
      <c r="K11" s="469"/>
      <c r="L11" s="412" t="s">
        <v>177</v>
      </c>
      <c r="M11" s="412"/>
      <c r="N11" s="412" t="s">
        <v>178</v>
      </c>
      <c r="O11" s="412"/>
      <c r="R11" s="468"/>
      <c r="S11" s="469"/>
      <c r="T11" s="412" t="s">
        <v>177</v>
      </c>
      <c r="U11" s="412"/>
      <c r="V11" s="412" t="s">
        <v>178</v>
      </c>
      <c r="W11" s="412"/>
      <c r="Z11" s="468"/>
      <c r="AA11" s="469"/>
      <c r="AB11" s="412" t="s">
        <v>177</v>
      </c>
      <c r="AC11" s="412"/>
      <c r="AD11" s="412" t="s">
        <v>178</v>
      </c>
      <c r="AE11" s="412"/>
      <c r="AH11" s="468"/>
      <c r="AI11" s="469"/>
      <c r="AJ11" s="412" t="s">
        <v>177</v>
      </c>
      <c r="AK11" s="412"/>
      <c r="AL11" s="412" t="s">
        <v>178</v>
      </c>
      <c r="AM11" s="412"/>
    </row>
    <row r="12" spans="1:40" ht="18.95" customHeight="1" x14ac:dyDescent="0.25">
      <c r="B12" s="470"/>
      <c r="C12" s="471"/>
      <c r="D12" s="158" t="s">
        <v>175</v>
      </c>
      <c r="E12" s="158" t="s">
        <v>176</v>
      </c>
      <c r="F12" s="158" t="s">
        <v>175</v>
      </c>
      <c r="G12" s="158" t="s">
        <v>176</v>
      </c>
      <c r="J12" s="470"/>
      <c r="K12" s="471"/>
      <c r="L12" s="158" t="s">
        <v>175</v>
      </c>
      <c r="M12" s="158" t="s">
        <v>176</v>
      </c>
      <c r="N12" s="158" t="s">
        <v>175</v>
      </c>
      <c r="O12" s="158" t="s">
        <v>176</v>
      </c>
      <c r="R12" s="470"/>
      <c r="S12" s="471"/>
      <c r="T12" s="158" t="s">
        <v>175</v>
      </c>
      <c r="U12" s="158" t="s">
        <v>176</v>
      </c>
      <c r="V12" s="158" t="s">
        <v>175</v>
      </c>
      <c r="W12" s="158" t="s">
        <v>176</v>
      </c>
      <c r="Z12" s="470"/>
      <c r="AA12" s="471"/>
      <c r="AB12" s="158" t="s">
        <v>175</v>
      </c>
      <c r="AC12" s="158" t="s">
        <v>176</v>
      </c>
      <c r="AD12" s="158" t="s">
        <v>175</v>
      </c>
      <c r="AE12" s="158" t="s">
        <v>176</v>
      </c>
      <c r="AH12" s="470"/>
      <c r="AI12" s="471"/>
      <c r="AJ12" s="158" t="s">
        <v>175</v>
      </c>
      <c r="AK12" s="158" t="s">
        <v>176</v>
      </c>
      <c r="AL12" s="158" t="s">
        <v>175</v>
      </c>
      <c r="AM12" s="158" t="s">
        <v>176</v>
      </c>
    </row>
    <row r="13" spans="1:40" ht="18.95" customHeight="1" x14ac:dyDescent="0.25">
      <c r="B13" s="492" t="s">
        <v>301</v>
      </c>
      <c r="C13" s="493"/>
      <c r="D13" s="248">
        <f>F13*супы!B5/G26</f>
        <v>53.2</v>
      </c>
      <c r="E13" s="248">
        <f>G13*супы!B5/G26</f>
        <v>40</v>
      </c>
      <c r="F13" s="248">
        <f>212.8/4*100</f>
        <v>5320</v>
      </c>
      <c r="G13" s="248">
        <f>160/4*100</f>
        <v>4000</v>
      </c>
      <c r="J13" s="455" t="s">
        <v>315</v>
      </c>
      <c r="K13" s="456"/>
      <c r="L13" s="106">
        <f>N13*супы!B7/O23</f>
        <v>62.5</v>
      </c>
      <c r="M13" s="106">
        <f>O13*супы!B7/O23</f>
        <v>50</v>
      </c>
      <c r="N13" s="106">
        <f>250/4*100</f>
        <v>6250</v>
      </c>
      <c r="O13" s="106">
        <f>200/4*100</f>
        <v>5000</v>
      </c>
      <c r="R13" s="455" t="s">
        <v>356</v>
      </c>
      <c r="S13" s="456"/>
      <c r="T13" s="106">
        <f>V13*супы!B9/W22</f>
        <v>25</v>
      </c>
      <c r="U13" s="106">
        <f>W13*супы!B9/W22</f>
        <v>20</v>
      </c>
      <c r="V13" s="106">
        <f>100/4*100</f>
        <v>2500</v>
      </c>
      <c r="W13" s="106">
        <f>80/4*100</f>
        <v>2000</v>
      </c>
      <c r="Z13" s="492" t="s">
        <v>249</v>
      </c>
      <c r="AA13" s="493"/>
      <c r="AB13" s="248">
        <f>AD13*супы!B11/AE22</f>
        <v>125.25</v>
      </c>
      <c r="AC13" s="248">
        <f>AE13*супы!B11/AE22</f>
        <v>75</v>
      </c>
      <c r="AD13" s="248">
        <f>501/4*100</f>
        <v>12525</v>
      </c>
      <c r="AE13" s="248">
        <f>300/4*100</f>
        <v>7500</v>
      </c>
      <c r="AH13" s="455" t="s">
        <v>315</v>
      </c>
      <c r="AI13" s="456"/>
      <c r="AJ13" s="106">
        <f>AL13*супы!B13/AM22</f>
        <v>25</v>
      </c>
      <c r="AK13" s="106">
        <f>AM13*супы!B13/AM22</f>
        <v>20</v>
      </c>
      <c r="AL13" s="106">
        <f>100/4*100</f>
        <v>2500</v>
      </c>
      <c r="AM13" s="106">
        <f>80/4*100</f>
        <v>2000</v>
      </c>
    </row>
    <row r="14" spans="1:40" ht="18.95" customHeight="1" x14ac:dyDescent="0.25">
      <c r="B14" s="455" t="s">
        <v>356</v>
      </c>
      <c r="C14" s="456"/>
      <c r="D14" s="106">
        <f>F14*супы!B5/G26</f>
        <v>25</v>
      </c>
      <c r="E14" s="106">
        <f>G14*супы!B5/G26</f>
        <v>20</v>
      </c>
      <c r="F14" s="106">
        <f>100/4*100</f>
        <v>2500</v>
      </c>
      <c r="G14" s="106">
        <f>80/4*100</f>
        <v>2000</v>
      </c>
      <c r="J14" s="492" t="s">
        <v>249</v>
      </c>
      <c r="K14" s="493"/>
      <c r="L14" s="248">
        <f>N14*супы!B7/O23</f>
        <v>50.1</v>
      </c>
      <c r="M14" s="248">
        <f>O14*супы!B5/O23</f>
        <v>30</v>
      </c>
      <c r="N14" s="248">
        <f>200.4/4*100</f>
        <v>5010</v>
      </c>
      <c r="O14" s="248">
        <f>120/4*100</f>
        <v>3000</v>
      </c>
      <c r="R14" s="492" t="s">
        <v>249</v>
      </c>
      <c r="S14" s="493"/>
      <c r="T14" s="248">
        <f>V14*супы!B9/W22</f>
        <v>125.25</v>
      </c>
      <c r="U14" s="248">
        <f>W14*супы!B9/W22</f>
        <v>75</v>
      </c>
      <c r="V14" s="248">
        <f>501/4*100</f>
        <v>12525</v>
      </c>
      <c r="W14" s="248">
        <f>300/4*100</f>
        <v>7500</v>
      </c>
      <c r="Z14" s="455" t="s">
        <v>565</v>
      </c>
      <c r="AA14" s="456"/>
      <c r="AB14" s="106">
        <f>AD14*супы!B11/AE22</f>
        <v>5</v>
      </c>
      <c r="AC14" s="106">
        <f>AE14*супы!B11/AE22</f>
        <v>5</v>
      </c>
      <c r="AD14" s="106">
        <f>20/4*100</f>
        <v>500</v>
      </c>
      <c r="AE14" s="106">
        <f>20/4*100</f>
        <v>500</v>
      </c>
      <c r="AH14" s="492" t="s">
        <v>249</v>
      </c>
      <c r="AI14" s="493"/>
      <c r="AJ14" s="248">
        <f>AL14*супы!B13/AM22</f>
        <v>83.5</v>
      </c>
      <c r="AK14" s="248">
        <f>AM14*супы!B13/AM22</f>
        <v>50</v>
      </c>
      <c r="AL14" s="248">
        <f>334/4*100</f>
        <v>8350</v>
      </c>
      <c r="AM14" s="248">
        <f>200/4*100</f>
        <v>5000</v>
      </c>
    </row>
    <row r="15" spans="1:40" ht="18.95" customHeight="1" x14ac:dyDescent="0.25">
      <c r="B15" s="455" t="s">
        <v>561</v>
      </c>
      <c r="C15" s="456"/>
      <c r="D15" s="106">
        <f>F15*супы!B5/G26</f>
        <v>21.5</v>
      </c>
      <c r="E15" s="106">
        <f>G15*супы!B5/G26</f>
        <v>15</v>
      </c>
      <c r="F15" s="106">
        <f>86/4*100</f>
        <v>2150</v>
      </c>
      <c r="G15" s="106">
        <f>60/4*100</f>
        <v>1500</v>
      </c>
      <c r="J15" s="492" t="s">
        <v>246</v>
      </c>
      <c r="K15" s="493"/>
      <c r="L15" s="248">
        <f>N15*супы!B7/O23</f>
        <v>13.3</v>
      </c>
      <c r="M15" s="248">
        <f>O15*супы!B5/O23</f>
        <v>10</v>
      </c>
      <c r="N15" s="248">
        <f>53.2/4*100</f>
        <v>1330</v>
      </c>
      <c r="O15" s="248">
        <f>40/4*100</f>
        <v>1000</v>
      </c>
      <c r="R15" s="492" t="s">
        <v>246</v>
      </c>
      <c r="S15" s="493"/>
      <c r="T15" s="248">
        <f>V15*супы!B9/W22</f>
        <v>13.3</v>
      </c>
      <c r="U15" s="248">
        <f>W15*супы!B9/W22</f>
        <v>10</v>
      </c>
      <c r="V15" s="248">
        <f>53.2/4*100</f>
        <v>1330</v>
      </c>
      <c r="W15" s="248">
        <f>40/4*100</f>
        <v>1000</v>
      </c>
      <c r="Z15" s="492" t="s">
        <v>246</v>
      </c>
      <c r="AA15" s="493"/>
      <c r="AB15" s="248">
        <f>AD15*супы!B11/AE22</f>
        <v>13.3</v>
      </c>
      <c r="AC15" s="248">
        <f>AE15*супы!B11/AE22</f>
        <v>10</v>
      </c>
      <c r="AD15" s="248">
        <f>53.2/4*100</f>
        <v>1330</v>
      </c>
      <c r="AE15" s="248">
        <f>40/4*100</f>
        <v>1000</v>
      </c>
      <c r="AH15" s="492" t="s">
        <v>246</v>
      </c>
      <c r="AI15" s="493"/>
      <c r="AJ15" s="248">
        <f>AL15*супы!B13/AM22</f>
        <v>13.3</v>
      </c>
      <c r="AK15" s="248">
        <f>AM15*супы!B13/AM22</f>
        <v>10</v>
      </c>
      <c r="AL15" s="248">
        <f>53.2/4*100</f>
        <v>1330</v>
      </c>
      <c r="AM15" s="248">
        <f>40/4*100</f>
        <v>1000</v>
      </c>
    </row>
    <row r="16" spans="1:40" ht="18.95" customHeight="1" x14ac:dyDescent="0.25">
      <c r="B16" s="492" t="s">
        <v>249</v>
      </c>
      <c r="C16" s="493"/>
      <c r="D16" s="248">
        <f>F16*супы!B5/G26</f>
        <v>33.4</v>
      </c>
      <c r="E16" s="248">
        <f>G16*супы!B5/G26</f>
        <v>20</v>
      </c>
      <c r="F16" s="248">
        <f>133.6/4*100</f>
        <v>3340</v>
      </c>
      <c r="G16" s="248">
        <f>80/4*100</f>
        <v>2000</v>
      </c>
      <c r="J16" s="494" t="s">
        <v>973</v>
      </c>
      <c r="K16" s="495"/>
      <c r="L16" s="248">
        <f>N16*супы!B7/O23</f>
        <v>3.25</v>
      </c>
      <c r="M16" s="248">
        <f>O16*супы!B5/O23</f>
        <v>2.5</v>
      </c>
      <c r="N16" s="248">
        <f>13/4*100</f>
        <v>325</v>
      </c>
      <c r="O16" s="248">
        <f>10/4*100</f>
        <v>250</v>
      </c>
      <c r="R16" s="455" t="s">
        <v>211</v>
      </c>
      <c r="S16" s="456"/>
      <c r="T16" s="106">
        <f>V16*супы!B9/W22</f>
        <v>12</v>
      </c>
      <c r="U16" s="106">
        <f>W16*супы!B9/W22</f>
        <v>10</v>
      </c>
      <c r="V16" s="106">
        <f>48/4*100</f>
        <v>1200</v>
      </c>
      <c r="W16" s="106">
        <f>40/4*100</f>
        <v>1000</v>
      </c>
      <c r="Z16" s="455" t="s">
        <v>211</v>
      </c>
      <c r="AA16" s="456"/>
      <c r="AB16" s="106">
        <f>AD16*супы!B11/AE22</f>
        <v>6</v>
      </c>
      <c r="AC16" s="106">
        <f>AE16*супы!B11/AE22</f>
        <v>5</v>
      </c>
      <c r="AD16" s="106">
        <f>24/4*100</f>
        <v>600</v>
      </c>
      <c r="AE16" s="106">
        <f>20/4*100</f>
        <v>500</v>
      </c>
      <c r="AH16" s="455" t="s">
        <v>211</v>
      </c>
      <c r="AI16" s="456"/>
      <c r="AJ16" s="106">
        <f>AL16*супы!B13/AM22</f>
        <v>12</v>
      </c>
      <c r="AK16" s="106">
        <f>AM16*супы!B13/AM22</f>
        <v>10</v>
      </c>
      <c r="AL16" s="106">
        <f>48/4*100</f>
        <v>1200</v>
      </c>
      <c r="AM16" s="106">
        <f>40/4*100</f>
        <v>1000</v>
      </c>
    </row>
    <row r="17" spans="1:40" ht="18.95" customHeight="1" x14ac:dyDescent="0.25">
      <c r="B17" s="492" t="s">
        <v>246</v>
      </c>
      <c r="C17" s="493"/>
      <c r="D17" s="248">
        <f>F17*супы!B5/G26</f>
        <v>13.3</v>
      </c>
      <c r="E17" s="248">
        <f>G17*супы!B5/G26</f>
        <v>10</v>
      </c>
      <c r="F17" s="248">
        <f>53.2/4*100</f>
        <v>1330</v>
      </c>
      <c r="G17" s="248">
        <f>40/4*100</f>
        <v>1000</v>
      </c>
      <c r="J17" s="455" t="s">
        <v>211</v>
      </c>
      <c r="K17" s="456"/>
      <c r="L17" s="106">
        <f>N17*супы!B7/O23</f>
        <v>12</v>
      </c>
      <c r="M17" s="106">
        <f>O17*супы!B5/O23</f>
        <v>10</v>
      </c>
      <c r="N17" s="106">
        <f>48/4*100</f>
        <v>1200</v>
      </c>
      <c r="O17" s="106">
        <f>40/4*100</f>
        <v>1000</v>
      </c>
      <c r="R17" s="455" t="s">
        <v>210</v>
      </c>
      <c r="S17" s="456"/>
      <c r="T17" s="106">
        <f>V17*супы!B9/W22</f>
        <v>16.75</v>
      </c>
      <c r="U17" s="106">
        <f>W17*супы!B9/W22</f>
        <v>15</v>
      </c>
      <c r="V17" s="106">
        <f>67/4*100</f>
        <v>1675</v>
      </c>
      <c r="W17" s="106">
        <f>60/4*100</f>
        <v>1500</v>
      </c>
      <c r="Z17" s="455" t="s">
        <v>210</v>
      </c>
      <c r="AA17" s="456"/>
      <c r="AB17" s="106">
        <f>AD17*супы!B11/AE22</f>
        <v>16.75</v>
      </c>
      <c r="AC17" s="106">
        <f>AE17*супы!B11/AE22</f>
        <v>15</v>
      </c>
      <c r="AD17" s="106">
        <f>67/4*100</f>
        <v>1675</v>
      </c>
      <c r="AE17" s="106">
        <f>60/4*100</f>
        <v>1500</v>
      </c>
      <c r="AH17" s="463" t="s">
        <v>273</v>
      </c>
      <c r="AI17" s="464"/>
      <c r="AJ17" s="106">
        <f>AL17*супы!B13/AM22</f>
        <v>11.5</v>
      </c>
      <c r="AK17" s="106">
        <f>AM17*супы!B13/AM22</f>
        <v>7.5</v>
      </c>
      <c r="AL17" s="106">
        <f>46/4*100</f>
        <v>1150</v>
      </c>
      <c r="AM17" s="106">
        <f>30/4*100</f>
        <v>750</v>
      </c>
    </row>
    <row r="18" spans="1:40" ht="18.95" customHeight="1" x14ac:dyDescent="0.25">
      <c r="B18" s="494" t="s">
        <v>973</v>
      </c>
      <c r="C18" s="495"/>
      <c r="D18" s="248">
        <f>F18*супы!B5/G26</f>
        <v>3.32</v>
      </c>
      <c r="E18" s="248">
        <f>G18*супы!B5/G26</f>
        <v>2.5</v>
      </c>
      <c r="F18" s="248">
        <f>13.28/4*100</f>
        <v>332</v>
      </c>
      <c r="G18" s="248">
        <f>10/4*100</f>
        <v>250</v>
      </c>
      <c r="J18" s="492" t="s">
        <v>975</v>
      </c>
      <c r="K18" s="493"/>
      <c r="L18" s="248">
        <f>N18*супы!B7/O23</f>
        <v>1.6</v>
      </c>
      <c r="M18" s="248">
        <f>O18*супы!B5/O23</f>
        <v>1.6</v>
      </c>
      <c r="N18" s="248">
        <f>6.4/4*100</f>
        <v>160</v>
      </c>
      <c r="O18" s="248">
        <f>6.4/4*100</f>
        <v>160</v>
      </c>
      <c r="R18" s="455" t="s">
        <v>207</v>
      </c>
      <c r="S18" s="456"/>
      <c r="T18" s="106">
        <f>V18*супы!B9/W22</f>
        <v>5</v>
      </c>
      <c r="U18" s="106">
        <f>W18*супы!B9/W22</f>
        <v>5</v>
      </c>
      <c r="V18" s="106">
        <f>20/4*100</f>
        <v>500</v>
      </c>
      <c r="W18" s="106">
        <f>20/4*100</f>
        <v>500</v>
      </c>
      <c r="Z18" s="455" t="s">
        <v>207</v>
      </c>
      <c r="AA18" s="456"/>
      <c r="AB18" s="106">
        <f>AD18*супы!B11/AE22</f>
        <v>5</v>
      </c>
      <c r="AC18" s="106">
        <f>AE18*супы!B11/AE22</f>
        <v>5</v>
      </c>
      <c r="AD18" s="106">
        <f>20/4*100</f>
        <v>500</v>
      </c>
      <c r="AE18" s="106">
        <f>20/4*100</f>
        <v>500</v>
      </c>
      <c r="AH18" s="455" t="s">
        <v>207</v>
      </c>
      <c r="AI18" s="456"/>
      <c r="AJ18" s="106">
        <f>AL18*супы!B13/AM22</f>
        <v>5</v>
      </c>
      <c r="AK18" s="106">
        <f>AM18*супы!B13/AM22</f>
        <v>5</v>
      </c>
      <c r="AL18" s="106">
        <f>20/4*100</f>
        <v>500</v>
      </c>
      <c r="AM18" s="106">
        <f>20/4*100</f>
        <v>500</v>
      </c>
    </row>
    <row r="19" spans="1:40" ht="18.95" customHeight="1" x14ac:dyDescent="0.25">
      <c r="B19" s="455" t="s">
        <v>211</v>
      </c>
      <c r="C19" s="456"/>
      <c r="D19" s="106">
        <f>F19*супы!B5/G26</f>
        <v>12</v>
      </c>
      <c r="E19" s="106">
        <f>G19*супы!B5/G26</f>
        <v>10</v>
      </c>
      <c r="F19" s="106">
        <f>48/4*100</f>
        <v>1200</v>
      </c>
      <c r="G19" s="106">
        <f>40/4*100</f>
        <v>1000</v>
      </c>
      <c r="J19" s="154" t="s">
        <v>207</v>
      </c>
      <c r="K19" s="155"/>
      <c r="L19" s="106">
        <f>N19*супы!B7/O23</f>
        <v>5</v>
      </c>
      <c r="M19" s="106">
        <f>O19*супы!B5/O23</f>
        <v>5</v>
      </c>
      <c r="N19" s="106">
        <f>20/4*100</f>
        <v>500</v>
      </c>
      <c r="O19" s="106">
        <f>20/4*100</f>
        <v>500</v>
      </c>
      <c r="R19" s="455" t="s">
        <v>562</v>
      </c>
      <c r="S19" s="456"/>
      <c r="T19" s="106">
        <f>V19*супы!B9/W22</f>
        <v>175</v>
      </c>
      <c r="U19" s="106">
        <f>W19*супы!B9/W22</f>
        <v>175</v>
      </c>
      <c r="V19" s="106">
        <f>700/4*100</f>
        <v>17500</v>
      </c>
      <c r="W19" s="106">
        <f>700/4*100</f>
        <v>17500</v>
      </c>
      <c r="Z19" s="455" t="s">
        <v>562</v>
      </c>
      <c r="AA19" s="456"/>
      <c r="AB19" s="106">
        <f>AD19*супы!B11/AE22</f>
        <v>187.5</v>
      </c>
      <c r="AC19" s="106">
        <f>AE19*супы!B11/AE22</f>
        <v>187.5</v>
      </c>
      <c r="AD19" s="106">
        <f>750/4*100</f>
        <v>18750</v>
      </c>
      <c r="AE19" s="106">
        <f>750/4*100</f>
        <v>18750</v>
      </c>
      <c r="AH19" s="455" t="s">
        <v>562</v>
      </c>
      <c r="AI19" s="456"/>
      <c r="AJ19" s="106">
        <f>AL19*супы!B13/AM22</f>
        <v>187.5</v>
      </c>
      <c r="AK19" s="106">
        <f>AM19*супы!B13/AM22</f>
        <v>187.5</v>
      </c>
      <c r="AL19" s="106">
        <f>750/4*100</f>
        <v>18750</v>
      </c>
      <c r="AM19" s="106">
        <f>750/4*100</f>
        <v>18750</v>
      </c>
    </row>
    <row r="20" spans="1:40" ht="18.95" customHeight="1" x14ac:dyDescent="0.25">
      <c r="B20" s="492" t="s">
        <v>975</v>
      </c>
      <c r="C20" s="493"/>
      <c r="D20" s="248">
        <f>F20*супы!B5/G26</f>
        <v>3</v>
      </c>
      <c r="E20" s="248">
        <f>G20*супы!B5/G26</f>
        <v>3</v>
      </c>
      <c r="F20" s="248">
        <f>12/4*100</f>
        <v>300</v>
      </c>
      <c r="G20" s="248">
        <f>12/4*100</f>
        <v>300</v>
      </c>
      <c r="J20" s="154" t="s">
        <v>562</v>
      </c>
      <c r="K20" s="155"/>
      <c r="L20" s="106">
        <f>N20*супы!B7/O23</f>
        <v>200</v>
      </c>
      <c r="M20" s="106">
        <f>O20*супы!B5/O23</f>
        <v>200</v>
      </c>
      <c r="N20" s="106">
        <f>800/4*100</f>
        <v>20000</v>
      </c>
      <c r="O20" s="106">
        <f>800/4*100</f>
        <v>20000</v>
      </c>
      <c r="R20" s="492" t="s">
        <v>476</v>
      </c>
      <c r="S20" s="493"/>
      <c r="T20" s="248">
        <f>V20*супы!B9/W22</f>
        <v>1.5</v>
      </c>
      <c r="U20" s="248">
        <f>W20*супы!B9/W22</f>
        <v>1.5</v>
      </c>
      <c r="V20" s="248">
        <f>6/4*100</f>
        <v>150</v>
      </c>
      <c r="W20" s="248">
        <f>6/4*100</f>
        <v>150</v>
      </c>
      <c r="Z20" s="492" t="s">
        <v>476</v>
      </c>
      <c r="AA20" s="493"/>
      <c r="AB20" s="248">
        <f>AD20*супы!B11/AE22</f>
        <v>1.5</v>
      </c>
      <c r="AC20" s="248">
        <f>AE20*супы!B11/AE22</f>
        <v>1.5</v>
      </c>
      <c r="AD20" s="248">
        <f>6/4*100</f>
        <v>150</v>
      </c>
      <c r="AE20" s="248">
        <f>6/4*100</f>
        <v>150</v>
      </c>
      <c r="AH20" s="492" t="s">
        <v>476</v>
      </c>
      <c r="AI20" s="493"/>
      <c r="AJ20" s="248">
        <f>AL20*супы!B13/AM22</f>
        <v>1.5</v>
      </c>
      <c r="AK20" s="248">
        <f>AM20*супы!B13/AM22</f>
        <v>1.5</v>
      </c>
      <c r="AL20" s="248">
        <f>6/4*100</f>
        <v>150</v>
      </c>
      <c r="AM20" s="248">
        <f>6/4*100</f>
        <v>150</v>
      </c>
    </row>
    <row r="21" spans="1:40" ht="18.95" customHeight="1" x14ac:dyDescent="0.25">
      <c r="B21" s="455" t="s">
        <v>207</v>
      </c>
      <c r="C21" s="456"/>
      <c r="D21" s="106">
        <f>F21*супы!B5/G26</f>
        <v>5</v>
      </c>
      <c r="E21" s="106">
        <f>G21*супы!B5/G26</f>
        <v>5</v>
      </c>
      <c r="F21" s="106">
        <f>20/4*100</f>
        <v>500</v>
      </c>
      <c r="G21" s="106">
        <f>20/4*100</f>
        <v>500</v>
      </c>
      <c r="J21" s="492" t="s">
        <v>476</v>
      </c>
      <c r="K21" s="493"/>
      <c r="L21" s="248">
        <f>N21*супы!B7/O23</f>
        <v>1.5</v>
      </c>
      <c r="M21" s="248">
        <f>O21*супы!B5/O23</f>
        <v>1.5</v>
      </c>
      <c r="N21" s="248">
        <f>6/4*100</f>
        <v>150</v>
      </c>
      <c r="O21" s="248">
        <f>6/4*100</f>
        <v>150</v>
      </c>
      <c r="R21" s="492" t="s">
        <v>640</v>
      </c>
      <c r="S21" s="493"/>
      <c r="T21" s="248">
        <f>V21*супы!B9/W22</f>
        <v>0.01</v>
      </c>
      <c r="U21" s="248">
        <f>W21*супы!B9/W22</f>
        <v>0.01</v>
      </c>
      <c r="V21" s="248">
        <f>0.04/4*100</f>
        <v>1</v>
      </c>
      <c r="W21" s="248">
        <f>0.04/4*100</f>
        <v>1</v>
      </c>
      <c r="Z21" s="492" t="s">
        <v>640</v>
      </c>
      <c r="AA21" s="493"/>
      <c r="AB21" s="248">
        <f>AD21*супы!B11/AE22</f>
        <v>0.01</v>
      </c>
      <c r="AC21" s="248">
        <f>AE21*супы!B11/AE22</f>
        <v>0.01</v>
      </c>
      <c r="AD21" s="248">
        <f>0.04/4*100</f>
        <v>1</v>
      </c>
      <c r="AE21" s="248">
        <f>0.04/4*100</f>
        <v>1</v>
      </c>
      <c r="AH21" s="492" t="s">
        <v>640</v>
      </c>
      <c r="AI21" s="493"/>
      <c r="AJ21" s="248">
        <f>AL21*супы!B13/AM22</f>
        <v>0.01</v>
      </c>
      <c r="AK21" s="248">
        <f>AM21*супы!B13/AM22</f>
        <v>0.01</v>
      </c>
      <c r="AL21" s="248">
        <f>0.04/4*100</f>
        <v>1</v>
      </c>
      <c r="AM21" s="248">
        <f>0.04/4*100</f>
        <v>1</v>
      </c>
    </row>
    <row r="22" spans="1:40" ht="18.95" customHeight="1" x14ac:dyDescent="0.25">
      <c r="B22" s="455" t="s">
        <v>297</v>
      </c>
      <c r="C22" s="456"/>
      <c r="D22" s="106">
        <f>F22*супы!B5/G26</f>
        <v>2.5</v>
      </c>
      <c r="E22" s="106">
        <f>G22*супы!B5/G26</f>
        <v>2.5</v>
      </c>
      <c r="F22" s="106">
        <f>10/4*100</f>
        <v>250</v>
      </c>
      <c r="G22" s="106">
        <f>10/4*100</f>
        <v>250</v>
      </c>
      <c r="J22" s="492" t="s">
        <v>640</v>
      </c>
      <c r="K22" s="493"/>
      <c r="L22" s="248">
        <f>N22*супы!B7/O23</f>
        <v>0.01</v>
      </c>
      <c r="M22" s="248">
        <f>O22*супы!B5/O23</f>
        <v>0.01</v>
      </c>
      <c r="N22" s="248">
        <f>0.04/4*100</f>
        <v>1</v>
      </c>
      <c r="O22" s="248">
        <f>0.04/4*100</f>
        <v>1</v>
      </c>
      <c r="R22" s="457" t="s">
        <v>180</v>
      </c>
      <c r="S22" s="458"/>
      <c r="T22" s="118"/>
      <c r="U22" s="106">
        <f>W22*супы!B9/W22</f>
        <v>250</v>
      </c>
      <c r="V22" s="106"/>
      <c r="W22" s="106">
        <f>1000/4*100</f>
        <v>25000</v>
      </c>
      <c r="Z22" s="457" t="s">
        <v>180</v>
      </c>
      <c r="AA22" s="458"/>
      <c r="AB22" s="118"/>
      <c r="AC22" s="106">
        <f>AE22*супы!B11/AE22</f>
        <v>250</v>
      </c>
      <c r="AD22" s="106"/>
      <c r="AE22" s="106">
        <f>1000/4*100</f>
        <v>25000</v>
      </c>
      <c r="AH22" s="457" t="s">
        <v>180</v>
      </c>
      <c r="AI22" s="458"/>
      <c r="AJ22" s="118"/>
      <c r="AK22" s="106">
        <f>AM22*супы!B13/AM22</f>
        <v>250</v>
      </c>
      <c r="AL22" s="106"/>
      <c r="AM22" s="106">
        <f>1000/4*100</f>
        <v>25000</v>
      </c>
    </row>
    <row r="23" spans="1:40" ht="18.95" customHeight="1" x14ac:dyDescent="0.25">
      <c r="B23" s="455" t="s">
        <v>562</v>
      </c>
      <c r="C23" s="456"/>
      <c r="D23" s="106">
        <f>F23*супы!B5/G26</f>
        <v>200</v>
      </c>
      <c r="E23" s="106">
        <f>G23*супы!B5/G26</f>
        <v>200</v>
      </c>
      <c r="F23" s="106">
        <f>800/4*100</f>
        <v>20000</v>
      </c>
      <c r="G23" s="106">
        <f>800/4*100</f>
        <v>20000</v>
      </c>
      <c r="J23" s="457" t="s">
        <v>180</v>
      </c>
      <c r="K23" s="458"/>
      <c r="L23" s="118"/>
      <c r="M23" s="106">
        <f>O23*супы!B7/O23</f>
        <v>250</v>
      </c>
      <c r="N23" s="106"/>
      <c r="O23" s="106">
        <f>1000/4*100</f>
        <v>25000</v>
      </c>
    </row>
    <row r="24" spans="1:40" ht="18.95" customHeight="1" x14ac:dyDescent="0.25">
      <c r="B24" s="492" t="s">
        <v>476</v>
      </c>
      <c r="C24" s="493"/>
      <c r="D24" s="248">
        <f>F24*супы!B5/G26</f>
        <v>1.5</v>
      </c>
      <c r="E24" s="248">
        <f>G24*супы!B5/G26</f>
        <v>15</v>
      </c>
      <c r="F24" s="248">
        <f>6/4*100</f>
        <v>150</v>
      </c>
      <c r="G24" s="248">
        <f>60/4*100</f>
        <v>1500</v>
      </c>
      <c r="Q24" s="459" t="s">
        <v>181</v>
      </c>
      <c r="R24" s="459"/>
      <c r="S24" s="459"/>
      <c r="T24" s="459"/>
      <c r="U24" s="459"/>
      <c r="V24" s="459"/>
      <c r="W24" s="459"/>
      <c r="X24" s="461"/>
      <c r="Y24" s="460" t="s">
        <v>181</v>
      </c>
      <c r="Z24" s="459"/>
      <c r="AA24" s="459"/>
      <c r="AB24" s="459"/>
      <c r="AC24" s="459"/>
      <c r="AD24" s="459"/>
      <c r="AE24" s="459"/>
      <c r="AF24" s="461"/>
      <c r="AG24" s="460" t="s">
        <v>181</v>
      </c>
      <c r="AH24" s="459"/>
      <c r="AI24" s="459"/>
      <c r="AJ24" s="459"/>
      <c r="AK24" s="459"/>
      <c r="AL24" s="459"/>
      <c r="AM24" s="459"/>
      <c r="AN24" s="459"/>
    </row>
    <row r="25" spans="1:40" ht="18.95" customHeight="1" x14ac:dyDescent="0.25">
      <c r="B25" s="492" t="s">
        <v>640</v>
      </c>
      <c r="C25" s="493"/>
      <c r="D25" s="248">
        <f>F25*супы!B5/G26</f>
        <v>0.01</v>
      </c>
      <c r="E25" s="248">
        <f>G25*супы!B5/G26</f>
        <v>0.01</v>
      </c>
      <c r="F25" s="248">
        <f>0.04/4*100</f>
        <v>1</v>
      </c>
      <c r="G25" s="248">
        <f>0.04/4*100</f>
        <v>1</v>
      </c>
      <c r="I25" s="459" t="s">
        <v>181</v>
      </c>
      <c r="J25" s="459"/>
      <c r="K25" s="459"/>
      <c r="L25" s="459"/>
      <c r="M25" s="459"/>
      <c r="N25" s="459"/>
      <c r="O25" s="459"/>
      <c r="P25" s="461"/>
      <c r="Q25" s="228" t="s">
        <v>182</v>
      </c>
      <c r="R25" s="228" t="s">
        <v>106</v>
      </c>
      <c r="S25" s="229" t="s">
        <v>107</v>
      </c>
      <c r="T25" s="230" t="s">
        <v>187</v>
      </c>
      <c r="U25" s="228" t="s">
        <v>183</v>
      </c>
      <c r="V25" s="228" t="s">
        <v>184</v>
      </c>
      <c r="W25" s="228" t="s">
        <v>185</v>
      </c>
      <c r="X25" s="228" t="s">
        <v>186</v>
      </c>
      <c r="Y25" s="158" t="s">
        <v>182</v>
      </c>
      <c r="Z25" s="158" t="s">
        <v>106</v>
      </c>
      <c r="AA25" s="115" t="s">
        <v>107</v>
      </c>
      <c r="AB25" s="116" t="s">
        <v>187</v>
      </c>
      <c r="AC25" s="158" t="s">
        <v>183</v>
      </c>
      <c r="AD25" s="158" t="s">
        <v>184</v>
      </c>
      <c r="AE25" s="158" t="s">
        <v>185</v>
      </c>
      <c r="AF25" s="158" t="s">
        <v>186</v>
      </c>
      <c r="AG25" s="158" t="s">
        <v>182</v>
      </c>
      <c r="AH25" s="158" t="s">
        <v>106</v>
      </c>
      <c r="AI25" s="115" t="s">
        <v>107</v>
      </c>
      <c r="AJ25" s="116" t="s">
        <v>187</v>
      </c>
      <c r="AK25" s="158" t="s">
        <v>183</v>
      </c>
      <c r="AL25" s="158" t="s">
        <v>184</v>
      </c>
      <c r="AM25" s="158" t="s">
        <v>185</v>
      </c>
      <c r="AN25" s="158" t="s">
        <v>186</v>
      </c>
    </row>
    <row r="26" spans="1:40" ht="18.95" customHeight="1" x14ac:dyDescent="0.25">
      <c r="B26" s="457" t="s">
        <v>180</v>
      </c>
      <c r="C26" s="458"/>
      <c r="D26" s="118"/>
      <c r="E26" s="106">
        <f>G26*супы!B5/G26</f>
        <v>250</v>
      </c>
      <c r="F26" s="106"/>
      <c r="G26" s="106">
        <f>1000/4*100</f>
        <v>25000</v>
      </c>
      <c r="I26" s="158" t="s">
        <v>182</v>
      </c>
      <c r="J26" s="158" t="s">
        <v>106</v>
      </c>
      <c r="K26" s="115" t="s">
        <v>107</v>
      </c>
      <c r="L26" s="116" t="s">
        <v>187</v>
      </c>
      <c r="M26" s="158" t="s">
        <v>183</v>
      </c>
      <c r="N26" s="158" t="s">
        <v>184</v>
      </c>
      <c r="O26" s="158" t="s">
        <v>185</v>
      </c>
      <c r="P26" s="158" t="s">
        <v>186</v>
      </c>
      <c r="Q26" s="41">
        <f>супы!E9</f>
        <v>2.0924999999999998</v>
      </c>
      <c r="R26" s="41">
        <f>супы!F9</f>
        <v>5.0925000000000002</v>
      </c>
      <c r="S26" s="41">
        <f>супы!G9</f>
        <v>12.69</v>
      </c>
      <c r="T26" s="41">
        <f>супы!H9</f>
        <v>114.5</v>
      </c>
      <c r="U26" s="41">
        <f>супы!M9</f>
        <v>39.75</v>
      </c>
      <c r="V26" s="41">
        <f>супы!O9</f>
        <v>28.074999999999999</v>
      </c>
      <c r="W26" s="41">
        <f>супы!P9</f>
        <v>1.075</v>
      </c>
      <c r="X26" s="41">
        <f>супы!J9</f>
        <v>13.125</v>
      </c>
      <c r="Y26" s="41">
        <f>супы!E11</f>
        <v>2.0175000000000001</v>
      </c>
      <c r="Z26" s="41">
        <f>супы!F11</f>
        <v>5.09</v>
      </c>
      <c r="AA26" s="41">
        <f>супы!G11</f>
        <v>11.98</v>
      </c>
      <c r="AB26" s="41">
        <f>супы!H11</f>
        <v>107.25</v>
      </c>
      <c r="AC26" s="41">
        <f>супы!M11</f>
        <v>29.15</v>
      </c>
      <c r="AD26" s="41">
        <f>супы!O11</f>
        <v>24.175000000000001</v>
      </c>
      <c r="AE26" s="41">
        <f>супы!P11</f>
        <v>0.92500000000000004</v>
      </c>
      <c r="AF26" s="41">
        <f>супы!J11</f>
        <v>8.375</v>
      </c>
      <c r="AG26" s="41">
        <f>супы!E13</f>
        <v>1.5874999999999999</v>
      </c>
      <c r="AH26" s="41">
        <f>супы!F13</f>
        <v>4.9874999999999998</v>
      </c>
      <c r="AI26" s="41">
        <f>супы!G13</f>
        <v>9.1475000000000009</v>
      </c>
      <c r="AJ26" s="41">
        <f>супы!H13</f>
        <v>95.25</v>
      </c>
      <c r="AK26" s="41">
        <f>супы!M13</f>
        <v>34.85</v>
      </c>
      <c r="AL26" s="41">
        <f>супы!O13</f>
        <v>20.75</v>
      </c>
      <c r="AM26" s="41">
        <f>супы!P13</f>
        <v>0.77500000000000002</v>
      </c>
      <c r="AN26" s="41">
        <f>супы!J13</f>
        <v>10.375</v>
      </c>
    </row>
    <row r="27" spans="1:40" ht="18.95" customHeight="1" x14ac:dyDescent="0.25">
      <c r="I27" s="41">
        <f>супы!E7</f>
        <v>1.7649999999999999</v>
      </c>
      <c r="J27" s="41">
        <f>супы!F7</f>
        <v>4.95</v>
      </c>
      <c r="K27" s="41">
        <f>супы!G7</f>
        <v>7.9024999999999999</v>
      </c>
      <c r="L27" s="41">
        <f>супы!H7</f>
        <v>89.75</v>
      </c>
      <c r="M27" s="41">
        <f>супы!M7</f>
        <v>49.25</v>
      </c>
      <c r="N27" s="41">
        <f>супы!O7</f>
        <v>22.125</v>
      </c>
      <c r="O27" s="41">
        <f>супы!P7</f>
        <v>0.82499999999999996</v>
      </c>
      <c r="P27" s="41">
        <f>супы!J7</f>
        <v>15.775</v>
      </c>
    </row>
    <row r="28" spans="1:40" ht="18.95" customHeight="1" x14ac:dyDescent="0.25">
      <c r="A28" s="459" t="s">
        <v>181</v>
      </c>
      <c r="B28" s="459"/>
      <c r="C28" s="459"/>
      <c r="D28" s="459"/>
      <c r="E28" s="459"/>
      <c r="F28" s="459"/>
      <c r="G28" s="459"/>
      <c r="H28" s="459"/>
      <c r="Q28" s="462" t="s">
        <v>564</v>
      </c>
      <c r="R28" s="462"/>
      <c r="S28" s="462"/>
      <c r="T28" s="462"/>
      <c r="U28" s="462"/>
      <c r="V28" s="462"/>
      <c r="W28" s="462"/>
      <c r="X28" s="462"/>
      <c r="Y28" s="462" t="s">
        <v>566</v>
      </c>
      <c r="Z28" s="462"/>
      <c r="AA28" s="462"/>
      <c r="AB28" s="462"/>
      <c r="AC28" s="462"/>
      <c r="AD28" s="462"/>
      <c r="AE28" s="462"/>
      <c r="AF28" s="462"/>
      <c r="AG28" s="462" t="s">
        <v>577</v>
      </c>
      <c r="AH28" s="462"/>
      <c r="AI28" s="462"/>
      <c r="AJ28" s="462"/>
      <c r="AK28" s="462"/>
      <c r="AL28" s="462"/>
      <c r="AM28" s="462"/>
      <c r="AN28" s="462"/>
    </row>
    <row r="29" spans="1:40" ht="18.95" customHeight="1" x14ac:dyDescent="0.25">
      <c r="A29" s="158" t="s">
        <v>182</v>
      </c>
      <c r="B29" s="158" t="s">
        <v>106</v>
      </c>
      <c r="C29" s="115" t="s">
        <v>107</v>
      </c>
      <c r="D29" s="116" t="s">
        <v>187</v>
      </c>
      <c r="E29" s="158" t="s">
        <v>183</v>
      </c>
      <c r="F29" s="158" t="s">
        <v>184</v>
      </c>
      <c r="G29" s="158" t="s">
        <v>185</v>
      </c>
      <c r="H29" s="158" t="s">
        <v>186</v>
      </c>
      <c r="I29" s="462" t="s">
        <v>567</v>
      </c>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row>
    <row r="30" spans="1:40" ht="18.95" customHeight="1" x14ac:dyDescent="0.25">
      <c r="A30" s="41">
        <f>супы!E5</f>
        <v>1.8025</v>
      </c>
      <c r="B30" s="41">
        <f>супы!F5</f>
        <v>4.92</v>
      </c>
      <c r="C30" s="41">
        <f>супы!G5</f>
        <v>10.932499999999999</v>
      </c>
      <c r="D30" s="41">
        <f>супы!H5</f>
        <v>103.75</v>
      </c>
      <c r="E30" s="41">
        <f>супы!M5</f>
        <v>49.725000000000001</v>
      </c>
      <c r="F30" s="41">
        <f>супы!O5</f>
        <v>26.125</v>
      </c>
      <c r="G30" s="41">
        <f>супы!P5</f>
        <v>1.2250000000000001</v>
      </c>
      <c r="H30" s="41">
        <f>супы!J5</f>
        <v>10.675000000000001</v>
      </c>
      <c r="I30" s="462"/>
      <c r="J30" s="462"/>
      <c r="K30" s="462"/>
      <c r="L30" s="462"/>
      <c r="M30" s="462"/>
      <c r="N30" s="462"/>
      <c r="O30" s="462"/>
      <c r="P30" s="462"/>
      <c r="Q30" s="234"/>
      <c r="R30" s="234"/>
      <c r="S30" s="234"/>
      <c r="T30" s="234"/>
      <c r="U30" s="234"/>
      <c r="V30" s="234"/>
      <c r="W30" s="234"/>
      <c r="X30" s="234"/>
      <c r="Y30" s="462"/>
      <c r="Z30" s="462"/>
      <c r="AA30" s="462"/>
      <c r="AB30" s="462"/>
      <c r="AC30" s="462"/>
      <c r="AD30" s="462"/>
      <c r="AE30" s="462"/>
      <c r="AF30" s="462"/>
      <c r="AG30" s="119"/>
      <c r="AH30" s="119"/>
      <c r="AI30" s="119"/>
      <c r="AJ30" s="119"/>
      <c r="AK30" s="119"/>
      <c r="AL30" s="119"/>
      <c r="AM30" s="119"/>
      <c r="AN30" s="119"/>
    </row>
    <row r="31" spans="1:40" ht="18.95" customHeight="1" x14ac:dyDescent="0.25">
      <c r="I31" s="462"/>
      <c r="J31" s="462"/>
      <c r="K31" s="462"/>
      <c r="L31" s="462"/>
      <c r="M31" s="462"/>
      <c r="N31" s="462"/>
      <c r="O31" s="462"/>
      <c r="P31" s="462"/>
      <c r="Q31" s="454" t="s">
        <v>232</v>
      </c>
      <c r="R31" s="454"/>
      <c r="S31" s="454"/>
      <c r="T31" s="234"/>
      <c r="U31" s="234"/>
      <c r="V31" s="234"/>
      <c r="W31" s="234"/>
      <c r="X31" s="234"/>
      <c r="Y31" s="119"/>
      <c r="Z31" s="119"/>
      <c r="AA31" s="119"/>
      <c r="AB31" s="119"/>
      <c r="AC31" s="119"/>
      <c r="AD31" s="119"/>
      <c r="AE31" s="119"/>
      <c r="AF31" s="119"/>
      <c r="AG31" s="454" t="s">
        <v>232</v>
      </c>
      <c r="AH31" s="454"/>
      <c r="AI31" s="454"/>
      <c r="AJ31" s="119"/>
      <c r="AK31" s="119"/>
      <c r="AL31" s="119"/>
      <c r="AM31" s="119"/>
      <c r="AN31" s="119"/>
    </row>
    <row r="32" spans="1:40" ht="18.95" customHeight="1" x14ac:dyDescent="0.25">
      <c r="A32" s="462" t="s">
        <v>563</v>
      </c>
      <c r="B32" s="462"/>
      <c r="C32" s="462"/>
      <c r="D32" s="462"/>
      <c r="E32" s="462"/>
      <c r="F32" s="462"/>
      <c r="G32" s="462"/>
      <c r="H32" s="462"/>
      <c r="I32" s="119"/>
      <c r="J32" s="119"/>
      <c r="K32" s="119"/>
      <c r="L32" s="119"/>
      <c r="M32" s="119"/>
      <c r="N32" s="119"/>
      <c r="O32" s="119"/>
      <c r="P32" s="119"/>
      <c r="Q32" s="119"/>
      <c r="R32" s="119"/>
      <c r="S32" s="119"/>
      <c r="T32" s="119"/>
      <c r="U32" s="119"/>
      <c r="V32" s="119"/>
      <c r="W32" s="119"/>
      <c r="X32" s="119"/>
      <c r="Y32" s="454" t="s">
        <v>232</v>
      </c>
      <c r="Z32" s="454"/>
      <c r="AA32" s="454"/>
      <c r="AG32" s="119"/>
      <c r="AH32" s="119"/>
      <c r="AI32" s="119"/>
      <c r="AJ32" s="119"/>
      <c r="AK32" s="119"/>
      <c r="AL32" s="119"/>
      <c r="AM32" s="119"/>
      <c r="AN32" s="119"/>
    </row>
    <row r="33" spans="1:40" ht="18.95" customHeight="1" x14ac:dyDescent="0.25">
      <c r="A33" s="462"/>
      <c r="B33" s="462"/>
      <c r="C33" s="462"/>
      <c r="D33" s="462"/>
      <c r="E33" s="462"/>
      <c r="F33" s="462"/>
      <c r="G33" s="462"/>
      <c r="H33" s="462"/>
      <c r="I33" s="454" t="s">
        <v>232</v>
      </c>
      <c r="J33" s="454"/>
      <c r="K33" s="454"/>
      <c r="Q33" s="231"/>
      <c r="R33" s="231"/>
      <c r="S33" s="231"/>
      <c r="T33" s="119"/>
      <c r="U33" s="119"/>
      <c r="V33" s="119"/>
      <c r="W33" s="119"/>
      <c r="X33" s="119"/>
      <c r="AG33" s="119"/>
      <c r="AH33" s="119"/>
      <c r="AI33" s="119"/>
      <c r="AJ33" s="119"/>
      <c r="AK33" s="119"/>
      <c r="AL33" s="119"/>
      <c r="AM33" s="119"/>
      <c r="AN33" s="119"/>
    </row>
    <row r="34" spans="1:40" ht="18.95" customHeight="1" x14ac:dyDescent="0.25">
      <c r="A34" s="462"/>
      <c r="B34" s="462"/>
      <c r="C34" s="462"/>
      <c r="D34" s="462"/>
      <c r="E34" s="462"/>
      <c r="F34" s="462"/>
      <c r="G34" s="462"/>
      <c r="H34" s="462"/>
      <c r="AG34" s="119"/>
      <c r="AH34" s="119"/>
      <c r="AI34" s="119"/>
      <c r="AJ34" s="119"/>
      <c r="AK34" s="119"/>
      <c r="AL34" s="119"/>
      <c r="AM34" s="119"/>
      <c r="AN34" s="119"/>
    </row>
    <row r="35" spans="1:40" ht="18.95" customHeight="1" x14ac:dyDescent="0.25">
      <c r="A35" s="462"/>
      <c r="B35" s="462"/>
      <c r="C35" s="462"/>
      <c r="D35" s="462"/>
      <c r="E35" s="462"/>
      <c r="F35" s="462"/>
      <c r="G35" s="462"/>
      <c r="H35" s="462"/>
      <c r="AG35" s="119"/>
      <c r="AH35" s="119"/>
      <c r="AI35" s="119"/>
      <c r="AJ35" s="119"/>
      <c r="AK35" s="119"/>
      <c r="AL35" s="119"/>
      <c r="AM35" s="119"/>
      <c r="AN35" s="119"/>
    </row>
    <row r="36" spans="1:40" ht="18.95" customHeight="1" x14ac:dyDescent="0.25">
      <c r="AJ36" s="119"/>
      <c r="AK36" s="119"/>
      <c r="AL36" s="119"/>
      <c r="AM36" s="119"/>
      <c r="AN36" s="119"/>
    </row>
    <row r="37" spans="1:40" ht="18.95" customHeight="1" x14ac:dyDescent="0.25">
      <c r="A37" s="454" t="s">
        <v>232</v>
      </c>
      <c r="B37" s="454"/>
      <c r="C37" s="454"/>
      <c r="AH37" s="119"/>
      <c r="AI37" s="119"/>
      <c r="AJ37" s="119"/>
      <c r="AK37" s="119"/>
      <c r="AL37" s="119"/>
      <c r="AM37" s="119"/>
      <c r="AN37" s="119"/>
    </row>
    <row r="38" spans="1:40" ht="18.95" customHeight="1" x14ac:dyDescent="0.25"/>
    <row r="39" spans="1:40" ht="18.95" customHeight="1" x14ac:dyDescent="0.25"/>
    <row r="40" spans="1:40" ht="18.95" customHeight="1" x14ac:dyDescent="0.25"/>
    <row r="41" spans="1:40" ht="18.95" customHeight="1" x14ac:dyDescent="0.25"/>
    <row r="42" spans="1:40" x14ac:dyDescent="0.25">
      <c r="A42" s="454" t="s">
        <v>214</v>
      </c>
      <c r="B42" s="454"/>
      <c r="F42" s="454" t="s">
        <v>215</v>
      </c>
      <c r="G42" s="454"/>
      <c r="H42" s="454"/>
      <c r="I42" s="454" t="s">
        <v>214</v>
      </c>
      <c r="J42" s="454"/>
      <c r="N42" s="454" t="s">
        <v>215</v>
      </c>
      <c r="O42" s="454"/>
      <c r="P42" s="454"/>
      <c r="Q42" s="454" t="s">
        <v>214</v>
      </c>
      <c r="R42" s="454"/>
      <c r="V42" s="454" t="s">
        <v>215</v>
      </c>
      <c r="W42" s="454"/>
      <c r="X42" s="454"/>
      <c r="Y42" s="472" t="s">
        <v>214</v>
      </c>
      <c r="Z42" s="472"/>
      <c r="AA42" s="167"/>
      <c r="AB42" s="167"/>
      <c r="AC42" s="167"/>
      <c r="AD42" s="472" t="s">
        <v>215</v>
      </c>
      <c r="AE42" s="472"/>
      <c r="AF42" s="472"/>
      <c r="AG42" s="472" t="s">
        <v>214</v>
      </c>
      <c r="AH42" s="472"/>
      <c r="AI42" s="167"/>
      <c r="AJ42" s="167"/>
      <c r="AK42" s="167"/>
      <c r="AL42" s="472" t="s">
        <v>215</v>
      </c>
      <c r="AM42" s="472"/>
      <c r="AN42" s="472"/>
    </row>
    <row r="43" spans="1:40" x14ac:dyDescent="0.25">
      <c r="E43" s="454" t="s">
        <v>216</v>
      </c>
      <c r="F43" s="454"/>
      <c r="G43" s="454"/>
      <c r="H43" s="454"/>
      <c r="M43" s="454" t="s">
        <v>216</v>
      </c>
      <c r="N43" s="454"/>
      <c r="O43" s="454"/>
      <c r="P43" s="454"/>
      <c r="U43" s="454" t="s">
        <v>216</v>
      </c>
      <c r="V43" s="454"/>
      <c r="W43" s="454"/>
      <c r="X43" s="454"/>
      <c r="AC43" s="454" t="s">
        <v>216</v>
      </c>
      <c r="AD43" s="454"/>
      <c r="AE43" s="454"/>
      <c r="AF43" s="454"/>
      <c r="AK43" s="454" t="s">
        <v>216</v>
      </c>
      <c r="AL43" s="454"/>
      <c r="AM43" s="454"/>
      <c r="AN43" s="454"/>
    </row>
    <row r="44" spans="1:40" x14ac:dyDescent="0.25">
      <c r="E44" s="161"/>
      <c r="F44" s="161"/>
      <c r="G44" s="161"/>
      <c r="H44" s="161"/>
      <c r="M44" s="161"/>
      <c r="N44" s="161"/>
      <c r="O44" s="161"/>
      <c r="P44" s="161"/>
      <c r="U44" s="161"/>
      <c r="V44" s="161"/>
      <c r="W44" s="161"/>
      <c r="X44" s="161"/>
      <c r="AC44" s="161"/>
      <c r="AD44" s="161"/>
      <c r="AE44" s="161"/>
      <c r="AF44" s="161"/>
      <c r="AK44" s="161"/>
      <c r="AL44" s="161"/>
      <c r="AM44" s="161"/>
      <c r="AN44" s="161"/>
    </row>
    <row r="45" spans="1:40" ht="18.95" customHeight="1" x14ac:dyDescent="0.25">
      <c r="A45" s="414" t="s">
        <v>631</v>
      </c>
      <c r="B45" s="414"/>
      <c r="C45" s="414"/>
      <c r="D45" s="414"/>
      <c r="E45" s="414"/>
      <c r="F45" s="414"/>
      <c r="G45" s="414"/>
      <c r="H45" s="414"/>
      <c r="I45" s="414" t="s">
        <v>632</v>
      </c>
      <c r="J45" s="414"/>
      <c r="K45" s="414"/>
      <c r="L45" s="414"/>
      <c r="M45" s="414"/>
      <c r="N45" s="414"/>
      <c r="O45" s="414"/>
      <c r="P45" s="414"/>
      <c r="Q45" s="414" t="s">
        <v>633</v>
      </c>
      <c r="R45" s="414"/>
      <c r="S45" s="414"/>
      <c r="T45" s="414"/>
      <c r="U45" s="414"/>
      <c r="V45" s="414"/>
      <c r="W45" s="414"/>
      <c r="X45" s="414"/>
      <c r="Y45" s="414" t="s">
        <v>634</v>
      </c>
      <c r="Z45" s="414"/>
      <c r="AA45" s="414"/>
      <c r="AB45" s="414"/>
      <c r="AC45" s="414"/>
      <c r="AD45" s="414"/>
      <c r="AE45" s="414"/>
      <c r="AF45" s="414"/>
      <c r="AG45" s="414" t="s">
        <v>635</v>
      </c>
      <c r="AH45" s="414"/>
      <c r="AI45" s="414"/>
      <c r="AJ45" s="414"/>
      <c r="AK45" s="414"/>
      <c r="AL45" s="414"/>
      <c r="AM45" s="414"/>
      <c r="AN45" s="414"/>
    </row>
    <row r="46" spans="1:40" ht="18.95" customHeight="1" x14ac:dyDescent="0.25">
      <c r="A46" s="473" t="s">
        <v>555</v>
      </c>
      <c r="B46" s="473"/>
      <c r="C46" s="473"/>
      <c r="D46" s="473"/>
      <c r="E46" s="473"/>
      <c r="F46" s="473"/>
      <c r="G46" s="473"/>
      <c r="H46" s="473"/>
      <c r="I46" s="473" t="s">
        <v>556</v>
      </c>
      <c r="J46" s="473"/>
      <c r="K46" s="473"/>
      <c r="L46" s="473"/>
      <c r="M46" s="473"/>
      <c r="N46" s="473"/>
      <c r="O46" s="473"/>
      <c r="P46" s="473"/>
      <c r="Q46" s="473" t="s">
        <v>557</v>
      </c>
      <c r="R46" s="465"/>
      <c r="S46" s="465"/>
      <c r="T46" s="465"/>
      <c r="U46" s="465"/>
      <c r="V46" s="465"/>
      <c r="W46" s="465"/>
      <c r="X46" s="465"/>
      <c r="Y46" s="473" t="s">
        <v>558</v>
      </c>
      <c r="Z46" s="465"/>
      <c r="AA46" s="465"/>
      <c r="AB46" s="465"/>
      <c r="AC46" s="465"/>
      <c r="AD46" s="465"/>
      <c r="AE46" s="465"/>
      <c r="AF46" s="465"/>
      <c r="AG46" s="473" t="s">
        <v>559</v>
      </c>
      <c r="AH46" s="465"/>
      <c r="AI46" s="465"/>
      <c r="AJ46" s="465"/>
      <c r="AK46" s="465"/>
      <c r="AL46" s="465"/>
      <c r="AM46" s="465"/>
      <c r="AN46" s="465"/>
    </row>
    <row r="47" spans="1:40" ht="18.95" customHeight="1" x14ac:dyDescent="0.25">
      <c r="A47" s="473" t="s">
        <v>545</v>
      </c>
      <c r="B47" s="473"/>
      <c r="C47" s="473"/>
      <c r="D47" s="473"/>
      <c r="E47" s="473"/>
      <c r="F47" s="473"/>
      <c r="G47" s="473"/>
      <c r="H47" s="473"/>
      <c r="I47" s="473" t="s">
        <v>546</v>
      </c>
      <c r="J47" s="473"/>
      <c r="K47" s="473"/>
      <c r="L47" s="473"/>
      <c r="M47" s="473"/>
      <c r="N47" s="473"/>
      <c r="O47" s="473"/>
      <c r="P47" s="473"/>
      <c r="Q47" s="473" t="s">
        <v>547</v>
      </c>
      <c r="R47" s="473"/>
      <c r="S47" s="473"/>
      <c r="T47" s="473"/>
      <c r="U47" s="473"/>
      <c r="V47" s="473"/>
      <c r="W47" s="473"/>
      <c r="X47" s="473"/>
      <c r="Y47" s="473" t="s">
        <v>548</v>
      </c>
      <c r="Z47" s="473"/>
      <c r="AA47" s="473"/>
      <c r="AB47" s="473"/>
      <c r="AC47" s="473"/>
      <c r="AD47" s="473"/>
      <c r="AE47" s="473"/>
      <c r="AF47" s="473"/>
      <c r="AG47" s="473" t="s">
        <v>549</v>
      </c>
      <c r="AH47" s="473"/>
      <c r="AI47" s="473"/>
      <c r="AJ47" s="473"/>
      <c r="AK47" s="473"/>
      <c r="AL47" s="473"/>
      <c r="AM47" s="473"/>
      <c r="AN47" s="473"/>
    </row>
    <row r="48" spans="1:40" ht="18.95" customHeight="1" x14ac:dyDescent="0.25">
      <c r="A48" s="465" t="s">
        <v>189</v>
      </c>
      <c r="B48" s="465"/>
      <c r="C48" s="465"/>
      <c r="D48" s="465"/>
      <c r="E48" s="465"/>
      <c r="F48" s="465"/>
      <c r="G48" s="465"/>
      <c r="H48" s="465"/>
      <c r="I48" s="465" t="s">
        <v>189</v>
      </c>
      <c r="J48" s="465"/>
      <c r="K48" s="465"/>
      <c r="L48" s="465"/>
      <c r="M48" s="465"/>
      <c r="N48" s="465"/>
      <c r="O48" s="465"/>
      <c r="P48" s="465"/>
      <c r="Q48" s="465" t="s">
        <v>189</v>
      </c>
      <c r="R48" s="465"/>
      <c r="S48" s="465"/>
      <c r="T48" s="465"/>
      <c r="U48" s="465"/>
      <c r="V48" s="465"/>
      <c r="W48" s="465"/>
      <c r="X48" s="465"/>
      <c r="Y48" s="465" t="s">
        <v>189</v>
      </c>
      <c r="Z48" s="465"/>
      <c r="AA48" s="465"/>
      <c r="AB48" s="465"/>
      <c r="AC48" s="465"/>
      <c r="AD48" s="465"/>
      <c r="AE48" s="465"/>
      <c r="AF48" s="465"/>
      <c r="AG48" s="465" t="s">
        <v>189</v>
      </c>
      <c r="AH48" s="465"/>
      <c r="AI48" s="465"/>
      <c r="AJ48" s="465"/>
      <c r="AK48" s="465"/>
      <c r="AL48" s="465"/>
      <c r="AM48" s="465"/>
      <c r="AN48" s="465"/>
    </row>
    <row r="49" spans="1:40" ht="18.95" customHeight="1" x14ac:dyDescent="0.25">
      <c r="A49" s="465" t="s">
        <v>190</v>
      </c>
      <c r="B49" s="465"/>
      <c r="C49" s="465"/>
      <c r="D49" s="465"/>
      <c r="E49" s="465"/>
      <c r="F49" s="465"/>
      <c r="G49" s="465"/>
      <c r="H49" s="465"/>
      <c r="I49" s="465" t="s">
        <v>190</v>
      </c>
      <c r="J49" s="465"/>
      <c r="K49" s="465"/>
      <c r="L49" s="465"/>
      <c r="M49" s="465"/>
      <c r="N49" s="465"/>
      <c r="O49" s="465"/>
      <c r="P49" s="465"/>
      <c r="Q49" s="465" t="s">
        <v>190</v>
      </c>
      <c r="R49" s="465"/>
      <c r="S49" s="465"/>
      <c r="T49" s="465"/>
      <c r="U49" s="465"/>
      <c r="V49" s="465"/>
      <c r="W49" s="465"/>
      <c r="X49" s="465"/>
      <c r="Y49" s="465" t="s">
        <v>190</v>
      </c>
      <c r="Z49" s="465"/>
      <c r="AA49" s="465"/>
      <c r="AB49" s="465"/>
      <c r="AC49" s="465"/>
      <c r="AD49" s="465"/>
      <c r="AE49" s="465"/>
      <c r="AF49" s="465"/>
      <c r="AG49" s="465" t="s">
        <v>190</v>
      </c>
      <c r="AH49" s="465"/>
      <c r="AI49" s="465"/>
      <c r="AJ49" s="465"/>
      <c r="AK49" s="465"/>
      <c r="AL49" s="465"/>
      <c r="AM49" s="465"/>
      <c r="AN49" s="465"/>
    </row>
    <row r="50" spans="1:40" ht="18.95" customHeight="1" x14ac:dyDescent="0.25">
      <c r="C50" s="159"/>
      <c r="K50" s="159"/>
      <c r="S50" s="159"/>
      <c r="AA50" s="159"/>
      <c r="AI50" s="159"/>
    </row>
    <row r="51" spans="1:40" ht="18.95" customHeight="1" x14ac:dyDescent="0.25">
      <c r="B51" s="466" t="s">
        <v>174</v>
      </c>
      <c r="C51" s="467"/>
      <c r="D51" s="412" t="s">
        <v>179</v>
      </c>
      <c r="E51" s="412"/>
      <c r="F51" s="412"/>
      <c r="G51" s="412"/>
      <c r="J51" s="466" t="s">
        <v>174</v>
      </c>
      <c r="K51" s="467"/>
      <c r="L51" s="412" t="s">
        <v>179</v>
      </c>
      <c r="M51" s="412"/>
      <c r="N51" s="412"/>
      <c r="O51" s="412"/>
      <c r="R51" s="466" t="s">
        <v>174</v>
      </c>
      <c r="S51" s="467"/>
      <c r="T51" s="412" t="s">
        <v>179</v>
      </c>
      <c r="U51" s="412"/>
      <c r="V51" s="412"/>
      <c r="W51" s="412"/>
      <c r="Z51" s="466" t="s">
        <v>174</v>
      </c>
      <c r="AA51" s="467"/>
      <c r="AB51" s="412" t="s">
        <v>179</v>
      </c>
      <c r="AC51" s="412"/>
      <c r="AD51" s="412"/>
      <c r="AE51" s="412"/>
      <c r="AH51" s="466" t="s">
        <v>174</v>
      </c>
      <c r="AI51" s="467"/>
      <c r="AJ51" s="412" t="s">
        <v>179</v>
      </c>
      <c r="AK51" s="412"/>
      <c r="AL51" s="412"/>
      <c r="AM51" s="412"/>
    </row>
    <row r="52" spans="1:40" ht="18.95" customHeight="1" x14ac:dyDescent="0.25">
      <c r="B52" s="468"/>
      <c r="C52" s="469"/>
      <c r="D52" s="412" t="s">
        <v>177</v>
      </c>
      <c r="E52" s="412"/>
      <c r="F52" s="412" t="s">
        <v>178</v>
      </c>
      <c r="G52" s="412"/>
      <c r="J52" s="468"/>
      <c r="K52" s="469"/>
      <c r="L52" s="412" t="s">
        <v>177</v>
      </c>
      <c r="M52" s="412"/>
      <c r="N52" s="412" t="s">
        <v>178</v>
      </c>
      <c r="O52" s="412"/>
      <c r="R52" s="468"/>
      <c r="S52" s="469"/>
      <c r="T52" s="412" t="s">
        <v>177</v>
      </c>
      <c r="U52" s="412"/>
      <c r="V52" s="412" t="s">
        <v>178</v>
      </c>
      <c r="W52" s="412"/>
      <c r="Z52" s="468"/>
      <c r="AA52" s="469"/>
      <c r="AB52" s="412" t="s">
        <v>177</v>
      </c>
      <c r="AC52" s="412"/>
      <c r="AD52" s="412" t="s">
        <v>178</v>
      </c>
      <c r="AE52" s="412"/>
      <c r="AH52" s="468"/>
      <c r="AI52" s="469"/>
      <c r="AJ52" s="412" t="s">
        <v>177</v>
      </c>
      <c r="AK52" s="412"/>
      <c r="AL52" s="412" t="s">
        <v>178</v>
      </c>
      <c r="AM52" s="412"/>
    </row>
    <row r="53" spans="1:40" ht="18.95" customHeight="1" x14ac:dyDescent="0.25">
      <c r="B53" s="470"/>
      <c r="C53" s="471"/>
      <c r="D53" s="158" t="s">
        <v>175</v>
      </c>
      <c r="E53" s="158" t="s">
        <v>176</v>
      </c>
      <c r="F53" s="158" t="s">
        <v>175</v>
      </c>
      <c r="G53" s="158" t="s">
        <v>176</v>
      </c>
      <c r="J53" s="470"/>
      <c r="K53" s="471"/>
      <c r="L53" s="158" t="s">
        <v>175</v>
      </c>
      <c r="M53" s="158" t="s">
        <v>176</v>
      </c>
      <c r="N53" s="158" t="s">
        <v>175</v>
      </c>
      <c r="O53" s="158" t="s">
        <v>176</v>
      </c>
      <c r="R53" s="470"/>
      <c r="S53" s="471"/>
      <c r="T53" s="158" t="s">
        <v>175</v>
      </c>
      <c r="U53" s="158" t="s">
        <v>176</v>
      </c>
      <c r="V53" s="158" t="s">
        <v>175</v>
      </c>
      <c r="W53" s="158" t="s">
        <v>176</v>
      </c>
      <c r="Z53" s="470"/>
      <c r="AA53" s="471"/>
      <c r="AB53" s="158" t="s">
        <v>175</v>
      </c>
      <c r="AC53" s="158" t="s">
        <v>176</v>
      </c>
      <c r="AD53" s="158" t="s">
        <v>175</v>
      </c>
      <c r="AE53" s="158" t="s">
        <v>176</v>
      </c>
      <c r="AH53" s="470"/>
      <c r="AI53" s="471"/>
      <c r="AJ53" s="158" t="s">
        <v>175</v>
      </c>
      <c r="AK53" s="158" t="s">
        <v>176</v>
      </c>
      <c r="AL53" s="158" t="s">
        <v>175</v>
      </c>
      <c r="AM53" s="158" t="s">
        <v>176</v>
      </c>
    </row>
    <row r="54" spans="1:40" ht="18.95" customHeight="1" x14ac:dyDescent="0.25">
      <c r="B54" s="492" t="s">
        <v>249</v>
      </c>
      <c r="C54" s="493"/>
      <c r="D54" s="248">
        <f>F54*супы!B15/G64</f>
        <v>125.25</v>
      </c>
      <c r="E54" s="248">
        <f>G54*супы!B15/G64</f>
        <v>75</v>
      </c>
      <c r="F54" s="248">
        <f>501/4*100</f>
        <v>12525</v>
      </c>
      <c r="G54" s="248">
        <f>300/4*100</f>
        <v>7500</v>
      </c>
      <c r="J54" s="492" t="s">
        <v>249</v>
      </c>
      <c r="K54" s="493"/>
      <c r="L54" s="248">
        <f>N54*супы!B17/O63</f>
        <v>83.5</v>
      </c>
      <c r="M54" s="248">
        <f>O54*супы!B17/O63</f>
        <v>50</v>
      </c>
      <c r="N54" s="248">
        <f>334/4*100</f>
        <v>8350</v>
      </c>
      <c r="O54" s="248">
        <f>200/4*100</f>
        <v>5000</v>
      </c>
      <c r="R54" s="492" t="s">
        <v>249</v>
      </c>
      <c r="S54" s="493"/>
      <c r="T54" s="248">
        <f>V54*супы!B19/W62</f>
        <v>125.25</v>
      </c>
      <c r="U54" s="248">
        <f>W54*супы!B19/W62</f>
        <v>75</v>
      </c>
      <c r="V54" s="248">
        <f>501/4*100</f>
        <v>12525</v>
      </c>
      <c r="W54" s="248">
        <f>300/4*100</f>
        <v>7500</v>
      </c>
      <c r="Z54" s="492" t="s">
        <v>249</v>
      </c>
      <c r="AA54" s="493"/>
      <c r="AB54" s="248">
        <f>AD54*супы!B21/AE62</f>
        <v>83.5</v>
      </c>
      <c r="AC54" s="248">
        <f>AE54*супы!B21/AE62</f>
        <v>50</v>
      </c>
      <c r="AD54" s="248">
        <f>334/4*100</f>
        <v>8350</v>
      </c>
      <c r="AE54" s="248">
        <f>200/4*100</f>
        <v>5000</v>
      </c>
      <c r="AH54" s="455" t="s">
        <v>575</v>
      </c>
      <c r="AI54" s="456"/>
      <c r="AJ54" s="106">
        <f>AL54*супы!B23/AM63</f>
        <v>12.5</v>
      </c>
      <c r="AK54" s="106">
        <f>AM54*супы!B23/AM63</f>
        <v>12.5</v>
      </c>
      <c r="AL54" s="106">
        <f>50/4*100</f>
        <v>1250</v>
      </c>
      <c r="AM54" s="106">
        <f>50/4*100</f>
        <v>1250</v>
      </c>
    </row>
    <row r="55" spans="1:40" ht="18.95" customHeight="1" x14ac:dyDescent="0.25">
      <c r="B55" s="463" t="s">
        <v>568</v>
      </c>
      <c r="C55" s="464"/>
      <c r="D55" s="106">
        <f>F55*супы!B15/G64</f>
        <v>10</v>
      </c>
      <c r="E55" s="106">
        <f>G55*супы!B15/G64</f>
        <v>10</v>
      </c>
      <c r="F55" s="106">
        <f>40/4*100</f>
        <v>1000</v>
      </c>
      <c r="G55" s="106">
        <f>40/4*100</f>
        <v>1000</v>
      </c>
      <c r="J55" s="455" t="s">
        <v>574</v>
      </c>
      <c r="K55" s="456"/>
      <c r="L55" s="106">
        <f>N55*супы!B17/O63</f>
        <v>20.25</v>
      </c>
      <c r="M55" s="106">
        <f>O55*супы!B17/O63</f>
        <v>20</v>
      </c>
      <c r="N55" s="106">
        <f>81/4*100</f>
        <v>2025</v>
      </c>
      <c r="O55" s="106">
        <f>80/4*100</f>
        <v>2000</v>
      </c>
      <c r="R55" s="455" t="s">
        <v>575</v>
      </c>
      <c r="S55" s="456"/>
      <c r="T55" s="106">
        <f>V55*супы!B19/W62</f>
        <v>10</v>
      </c>
      <c r="U55" s="106">
        <f>W55*супы!B19/W62</f>
        <v>10</v>
      </c>
      <c r="V55" s="106">
        <f>40/4*100</f>
        <v>1000</v>
      </c>
      <c r="W55" s="106">
        <f>40/4*100</f>
        <v>1000</v>
      </c>
      <c r="Z55" s="492" t="s">
        <v>246</v>
      </c>
      <c r="AA55" s="493"/>
      <c r="AB55" s="248">
        <f>AD55*супы!B21/AE62</f>
        <v>13.3</v>
      </c>
      <c r="AC55" s="248">
        <f>AE55*супы!B21/AE62</f>
        <v>10</v>
      </c>
      <c r="AD55" s="248">
        <f>53.2/4*100</f>
        <v>1330</v>
      </c>
      <c r="AE55" s="248">
        <f>40/4*100</f>
        <v>1000</v>
      </c>
      <c r="AH55" s="492" t="s">
        <v>249</v>
      </c>
      <c r="AI55" s="493"/>
      <c r="AJ55" s="248">
        <f>AL55*супы!B23/AM63</f>
        <v>83.5</v>
      </c>
      <c r="AK55" s="248">
        <f>AM55*супы!B23/AM63</f>
        <v>50</v>
      </c>
      <c r="AL55" s="248">
        <f>334/4*100</f>
        <v>8350</v>
      </c>
      <c r="AM55" s="248">
        <f>200/4*100</f>
        <v>5000</v>
      </c>
    </row>
    <row r="56" spans="1:40" ht="18.95" customHeight="1" x14ac:dyDescent="0.25">
      <c r="B56" s="455" t="s">
        <v>569</v>
      </c>
      <c r="C56" s="456"/>
      <c r="D56" s="106">
        <f>F56*супы!B15/G64</f>
        <v>5</v>
      </c>
      <c r="E56" s="106">
        <f>G56*супы!B15/G64</f>
        <v>5</v>
      </c>
      <c r="F56" s="106">
        <f>20/4*100</f>
        <v>500</v>
      </c>
      <c r="G56" s="106">
        <f>20/4*100</f>
        <v>500</v>
      </c>
      <c r="J56" s="455" t="s">
        <v>211</v>
      </c>
      <c r="K56" s="456"/>
      <c r="L56" s="106">
        <f>N56*супы!B17/O63</f>
        <v>12</v>
      </c>
      <c r="M56" s="106">
        <f>O56*супы!B17/O63</f>
        <v>10</v>
      </c>
      <c r="N56" s="106">
        <f>48/4*100</f>
        <v>1200</v>
      </c>
      <c r="O56" s="106">
        <f>40/4*100</f>
        <v>1000</v>
      </c>
      <c r="R56" s="492" t="s">
        <v>246</v>
      </c>
      <c r="S56" s="493"/>
      <c r="T56" s="248">
        <f>V56*супы!B19/W62</f>
        <v>13.3</v>
      </c>
      <c r="U56" s="248">
        <f>W56*супы!B19/W62</f>
        <v>10</v>
      </c>
      <c r="V56" s="248">
        <f>53.2/4*100</f>
        <v>1330</v>
      </c>
      <c r="W56" s="248">
        <f>40/4*100</f>
        <v>1000</v>
      </c>
      <c r="Z56" s="455" t="s">
        <v>211</v>
      </c>
      <c r="AA56" s="456"/>
      <c r="AB56" s="106">
        <f>AD56*супы!B21/AE62</f>
        <v>12</v>
      </c>
      <c r="AC56" s="106">
        <f>AE56*супы!B21/AE62</f>
        <v>10</v>
      </c>
      <c r="AD56" s="106">
        <f>48/4*100</f>
        <v>1200</v>
      </c>
      <c r="AE56" s="106">
        <f>40/4*100</f>
        <v>1000</v>
      </c>
      <c r="AH56" s="492" t="s">
        <v>246</v>
      </c>
      <c r="AI56" s="493"/>
      <c r="AJ56" s="248">
        <f>AL56*супы!B23/AM63</f>
        <v>13.3</v>
      </c>
      <c r="AK56" s="248">
        <f>AM56*супы!B23/AM63</f>
        <v>10</v>
      </c>
      <c r="AL56" s="248">
        <f>53.2/4*100</f>
        <v>1330</v>
      </c>
      <c r="AM56" s="248">
        <f>40/4*100</f>
        <v>1000</v>
      </c>
    </row>
    <row r="57" spans="1:40" ht="18.95" customHeight="1" x14ac:dyDescent="0.25">
      <c r="B57" s="492" t="s">
        <v>246</v>
      </c>
      <c r="C57" s="493"/>
      <c r="D57" s="248">
        <f>F57*супы!B15/G64</f>
        <v>13.3</v>
      </c>
      <c r="E57" s="248">
        <f>G57*супы!B15/G64</f>
        <v>10</v>
      </c>
      <c r="F57" s="248">
        <f>53.2/4*100</f>
        <v>1330</v>
      </c>
      <c r="G57" s="248">
        <f>40/4*100</f>
        <v>1000</v>
      </c>
      <c r="J57" s="492" t="s">
        <v>246</v>
      </c>
      <c r="K57" s="493"/>
      <c r="L57" s="248">
        <f>N57*супы!B17/O63</f>
        <v>13.3</v>
      </c>
      <c r="M57" s="248">
        <f>O57*супы!B17/O63</f>
        <v>10</v>
      </c>
      <c r="N57" s="248">
        <f>53.2/4*100</f>
        <v>1330</v>
      </c>
      <c r="O57" s="248">
        <f>40/4*100</f>
        <v>1000</v>
      </c>
      <c r="R57" s="455" t="s">
        <v>211</v>
      </c>
      <c r="S57" s="456"/>
      <c r="T57" s="106">
        <f>V57*супы!B19/W62</f>
        <v>12</v>
      </c>
      <c r="U57" s="106">
        <f>W57*супы!B19/W62</f>
        <v>10</v>
      </c>
      <c r="V57" s="106">
        <f>48/4*100</f>
        <v>1200</v>
      </c>
      <c r="W57" s="106">
        <f>40/4*100</f>
        <v>1000</v>
      </c>
      <c r="Z57" s="455" t="s">
        <v>207</v>
      </c>
      <c r="AA57" s="456"/>
      <c r="AB57" s="106">
        <f>AD57*супы!B21/AE62</f>
        <v>2.5</v>
      </c>
      <c r="AC57" s="106">
        <f>AE57*супы!B21/AE62</f>
        <v>2.5</v>
      </c>
      <c r="AD57" s="106">
        <f>10/4*100</f>
        <v>250</v>
      </c>
      <c r="AE57" s="106">
        <f>10/4*100</f>
        <v>250</v>
      </c>
      <c r="AH57" s="455" t="s">
        <v>211</v>
      </c>
      <c r="AI57" s="456"/>
      <c r="AJ57" s="106">
        <f>AL57*супы!B23/AM63</f>
        <v>12</v>
      </c>
      <c r="AK57" s="106">
        <f>AM57*супы!B23/AM63</f>
        <v>10</v>
      </c>
      <c r="AL57" s="106">
        <f>48/4*100</f>
        <v>1200</v>
      </c>
      <c r="AM57" s="106">
        <f>40/4*100</f>
        <v>1000</v>
      </c>
    </row>
    <row r="58" spans="1:40" ht="18.95" customHeight="1" x14ac:dyDescent="0.25">
      <c r="B58" s="154" t="s">
        <v>211</v>
      </c>
      <c r="C58" s="155"/>
      <c r="D58" s="106">
        <f>F58*супы!B15/G64</f>
        <v>12</v>
      </c>
      <c r="E58" s="106">
        <f>G58*супы!B15/G64</f>
        <v>10</v>
      </c>
      <c r="F58" s="106">
        <f>48/4*100</f>
        <v>1200</v>
      </c>
      <c r="G58" s="106">
        <f>40/4*100</f>
        <v>1000</v>
      </c>
      <c r="J58" s="494" t="s">
        <v>973</v>
      </c>
      <c r="K58" s="495"/>
      <c r="L58" s="248">
        <f>N58*супы!B17/O63</f>
        <v>3.3250000000000002</v>
      </c>
      <c r="M58" s="248">
        <f>O58*супы!B17/O63</f>
        <v>2.5</v>
      </c>
      <c r="N58" s="248">
        <f>13.3/4*100</f>
        <v>332.5</v>
      </c>
      <c r="O58" s="248">
        <f>10/4*100</f>
        <v>250</v>
      </c>
      <c r="R58" s="455" t="s">
        <v>207</v>
      </c>
      <c r="S58" s="456"/>
      <c r="T58" s="106">
        <f>V58*супы!B19/W62</f>
        <v>2.5</v>
      </c>
      <c r="U58" s="106">
        <f>W58*супы!B19/W62</f>
        <v>2.5</v>
      </c>
      <c r="V58" s="106">
        <f>10/4*100</f>
        <v>250</v>
      </c>
      <c r="W58" s="106">
        <f>10/4*100</f>
        <v>250</v>
      </c>
      <c r="Z58" s="455" t="s">
        <v>576</v>
      </c>
      <c r="AA58" s="456"/>
      <c r="AB58" s="106"/>
      <c r="AC58" s="106">
        <f>AE58*супы!B21/AE62</f>
        <v>65</v>
      </c>
      <c r="AD58" s="106"/>
      <c r="AE58" s="106">
        <f>260/4*100</f>
        <v>6500</v>
      </c>
      <c r="AH58" s="455" t="s">
        <v>207</v>
      </c>
      <c r="AI58" s="456"/>
      <c r="AJ58" s="106">
        <f>AL58*супы!B23/AM63</f>
        <v>2.5</v>
      </c>
      <c r="AK58" s="106">
        <f>AM58*супы!B23/AM63</f>
        <v>2.5</v>
      </c>
      <c r="AL58" s="106">
        <f>10/4*100</f>
        <v>250</v>
      </c>
      <c r="AM58" s="106">
        <f>10/4*100</f>
        <v>250</v>
      </c>
    </row>
    <row r="59" spans="1:40" ht="18.95" customHeight="1" x14ac:dyDescent="0.25">
      <c r="B59" s="154" t="s">
        <v>207</v>
      </c>
      <c r="C59" s="155"/>
      <c r="D59" s="106">
        <f>F59*супы!B15/G64</f>
        <v>2.5</v>
      </c>
      <c r="E59" s="106">
        <f>G59*супы!B15/G64</f>
        <v>2.5</v>
      </c>
      <c r="F59" s="106">
        <f>10/4*100</f>
        <v>250</v>
      </c>
      <c r="G59" s="106">
        <f>10/4*100</f>
        <v>250</v>
      </c>
      <c r="J59" s="455" t="s">
        <v>207</v>
      </c>
      <c r="K59" s="456"/>
      <c r="L59" s="106">
        <f>N59*супы!B17/O63</f>
        <v>5</v>
      </c>
      <c r="M59" s="106">
        <f>O59*супы!B17/O63</f>
        <v>5</v>
      </c>
      <c r="N59" s="106">
        <f>20/4*100</f>
        <v>500</v>
      </c>
      <c r="O59" s="106">
        <f>20/4*100</f>
        <v>500</v>
      </c>
      <c r="R59" s="484" t="s">
        <v>562</v>
      </c>
      <c r="S59" s="485"/>
      <c r="T59" s="106">
        <f>V59*супы!B19/W62</f>
        <v>175</v>
      </c>
      <c r="U59" s="106">
        <f>W59*супы!B19/W62</f>
        <v>175</v>
      </c>
      <c r="V59" s="106">
        <f>700/4*100</f>
        <v>17500</v>
      </c>
      <c r="W59" s="106">
        <f>700/4*100</f>
        <v>17500</v>
      </c>
      <c r="Z59" s="484" t="s">
        <v>562</v>
      </c>
      <c r="AA59" s="485"/>
      <c r="AB59" s="106">
        <f>AD59*супы!B21/AE62</f>
        <v>187.5</v>
      </c>
      <c r="AC59" s="106">
        <f>AE59*супы!B21/AE62</f>
        <v>187.5</v>
      </c>
      <c r="AD59" s="106">
        <f>750/4*100</f>
        <v>18750</v>
      </c>
      <c r="AE59" s="106">
        <f>750/4*100</f>
        <v>18750</v>
      </c>
      <c r="AH59" s="492" t="s">
        <v>975</v>
      </c>
      <c r="AI59" s="493"/>
      <c r="AJ59" s="248">
        <f>AL59*супы!B23/AM63</f>
        <v>1</v>
      </c>
      <c r="AK59" s="248">
        <f>AM59*супы!B23/AM63</f>
        <v>1</v>
      </c>
      <c r="AL59" s="248">
        <f>4/4*100</f>
        <v>100</v>
      </c>
      <c r="AM59" s="248">
        <f>4/4*100</f>
        <v>100</v>
      </c>
    </row>
    <row r="60" spans="1:40" ht="18.95" customHeight="1" x14ac:dyDescent="0.25">
      <c r="B60" s="463" t="s">
        <v>570</v>
      </c>
      <c r="C60" s="464"/>
      <c r="D60" s="106">
        <f>F60*супы!B15/G64</f>
        <v>175</v>
      </c>
      <c r="E60" s="106">
        <f>G60*супы!B15/G64</f>
        <v>175</v>
      </c>
      <c r="F60" s="106">
        <f>700/4*100</f>
        <v>17500</v>
      </c>
      <c r="G60" s="106">
        <f>700/4*100</f>
        <v>17500</v>
      </c>
      <c r="J60" s="484" t="s">
        <v>562</v>
      </c>
      <c r="K60" s="485"/>
      <c r="L60" s="106">
        <f>N60*супы!B17/O63</f>
        <v>175</v>
      </c>
      <c r="M60" s="106">
        <f>O60*супы!B17/O63</f>
        <v>175</v>
      </c>
      <c r="N60" s="106">
        <f>700/4*100</f>
        <v>17500</v>
      </c>
      <c r="O60" s="106">
        <f>700/4*100</f>
        <v>17500</v>
      </c>
      <c r="R60" s="492" t="s">
        <v>476</v>
      </c>
      <c r="S60" s="493"/>
      <c r="T60" s="248">
        <f>V60*супы!B19/W62</f>
        <v>1.5</v>
      </c>
      <c r="U60" s="248">
        <f>W60*супы!B19/W62</f>
        <v>1.5</v>
      </c>
      <c r="V60" s="248">
        <f>6/4*100</f>
        <v>150</v>
      </c>
      <c r="W60" s="248">
        <f>6/4*100</f>
        <v>150</v>
      </c>
      <c r="Z60" s="492" t="s">
        <v>476</v>
      </c>
      <c r="AA60" s="493"/>
      <c r="AB60" s="248">
        <f>AD60*супы!B21/AE62</f>
        <v>1.5</v>
      </c>
      <c r="AC60" s="248">
        <f>AE60*супы!B21/AE62</f>
        <v>1.5</v>
      </c>
      <c r="AD60" s="248">
        <f>6/4*100</f>
        <v>150</v>
      </c>
      <c r="AE60" s="248">
        <f>6/4*100</f>
        <v>150</v>
      </c>
      <c r="AH60" s="484" t="s">
        <v>562</v>
      </c>
      <c r="AI60" s="485"/>
      <c r="AJ60" s="106">
        <f>AL60*супы!B23/AM63</f>
        <v>212.5</v>
      </c>
      <c r="AK60" s="106">
        <f>AM60*супы!B23/AM63</f>
        <v>212.5</v>
      </c>
      <c r="AL60" s="106">
        <f>850/4*100</f>
        <v>21250</v>
      </c>
      <c r="AM60" s="106">
        <f>850/4*100</f>
        <v>21250</v>
      </c>
    </row>
    <row r="61" spans="1:40" ht="18.95" customHeight="1" x14ac:dyDescent="0.25">
      <c r="B61" s="154" t="s">
        <v>571</v>
      </c>
      <c r="C61" s="154"/>
      <c r="D61" s="106">
        <f>F61*супы!B15/G64</f>
        <v>187.5</v>
      </c>
      <c r="E61" s="106">
        <f>G61*супы!B15/G64</f>
        <v>187.5</v>
      </c>
      <c r="F61" s="106">
        <f>750/4*100</f>
        <v>18750</v>
      </c>
      <c r="G61" s="106">
        <f>750/4*100</f>
        <v>18750</v>
      </c>
      <c r="J61" s="492" t="s">
        <v>476</v>
      </c>
      <c r="K61" s="493"/>
      <c r="L61" s="248">
        <f>N61*супы!B17/O63</f>
        <v>1.5</v>
      </c>
      <c r="M61" s="248">
        <f>O61*супы!B17/O63</f>
        <v>1.5</v>
      </c>
      <c r="N61" s="248">
        <f>6/4*100</f>
        <v>150</v>
      </c>
      <c r="O61" s="248">
        <f>6/4*100</f>
        <v>150</v>
      </c>
      <c r="R61" s="492" t="s">
        <v>640</v>
      </c>
      <c r="S61" s="493"/>
      <c r="T61" s="248">
        <f>V61*супы!B19/W62</f>
        <v>0.01</v>
      </c>
      <c r="U61" s="248">
        <f>W61*супы!B19/W62</f>
        <v>0.01</v>
      </c>
      <c r="V61" s="248">
        <f>0.04/4*100</f>
        <v>1</v>
      </c>
      <c r="W61" s="248">
        <f>0.04/4*100</f>
        <v>1</v>
      </c>
      <c r="Z61" s="492" t="s">
        <v>640</v>
      </c>
      <c r="AA61" s="493"/>
      <c r="AB61" s="248">
        <f>AD61*супы!B21/AE62</f>
        <v>0.01</v>
      </c>
      <c r="AC61" s="248">
        <f>AE61*супы!B21/AE62</f>
        <v>0.01</v>
      </c>
      <c r="AD61" s="248">
        <f>0.04/4*100</f>
        <v>1</v>
      </c>
      <c r="AE61" s="248">
        <f>0.04/4*100</f>
        <v>1</v>
      </c>
      <c r="AH61" s="492" t="s">
        <v>476</v>
      </c>
      <c r="AI61" s="493"/>
      <c r="AJ61" s="248">
        <f>AL61*супы!B23/AM63</f>
        <v>1.5</v>
      </c>
      <c r="AK61" s="248">
        <f>AM61*супы!B23/AM63</f>
        <v>1.5</v>
      </c>
      <c r="AL61" s="248">
        <f>6/4*100</f>
        <v>150</v>
      </c>
      <c r="AM61" s="248">
        <f>6/4*100</f>
        <v>150</v>
      </c>
    </row>
    <row r="62" spans="1:40" ht="18.95" customHeight="1" x14ac:dyDescent="0.25">
      <c r="B62" s="492" t="s">
        <v>476</v>
      </c>
      <c r="C62" s="493"/>
      <c r="D62" s="248">
        <f>F62*супы!B15/G64</f>
        <v>1.5</v>
      </c>
      <c r="E62" s="248">
        <f>G62*супы!B15/G64</f>
        <v>1.5</v>
      </c>
      <c r="F62" s="248">
        <f>6/4*100</f>
        <v>150</v>
      </c>
      <c r="G62" s="248">
        <f>6/4*100</f>
        <v>150</v>
      </c>
      <c r="J62" s="492" t="s">
        <v>640</v>
      </c>
      <c r="K62" s="493"/>
      <c r="L62" s="248">
        <f>N62*супы!B17/O63</f>
        <v>0.01</v>
      </c>
      <c r="M62" s="248">
        <f>O62*супы!B17/O63</f>
        <v>0.01</v>
      </c>
      <c r="N62" s="248">
        <f>0.04/4*100</f>
        <v>1</v>
      </c>
      <c r="O62" s="248">
        <f>0.04/4*100</f>
        <v>1</v>
      </c>
      <c r="R62" s="457" t="s">
        <v>180</v>
      </c>
      <c r="S62" s="458"/>
      <c r="T62" s="118"/>
      <c r="U62" s="106">
        <f>W62*супы!B19/W62</f>
        <v>250</v>
      </c>
      <c r="V62" s="106"/>
      <c r="W62" s="106">
        <f>1000/4*100</f>
        <v>25000</v>
      </c>
      <c r="Z62" s="457" t="s">
        <v>180</v>
      </c>
      <c r="AA62" s="458"/>
      <c r="AB62" s="118"/>
      <c r="AC62" s="106">
        <f>AE62*супы!B21/AE62</f>
        <v>250</v>
      </c>
      <c r="AD62" s="106"/>
      <c r="AE62" s="106">
        <f>1000/4*100</f>
        <v>25000</v>
      </c>
      <c r="AH62" s="492" t="s">
        <v>640</v>
      </c>
      <c r="AI62" s="493"/>
      <c r="AJ62" s="248">
        <f>AL62*супы!B23/AM63</f>
        <v>0.01</v>
      </c>
      <c r="AK62" s="248">
        <f>AM62*супы!B23/AM63</f>
        <v>0.01</v>
      </c>
      <c r="AL62" s="248">
        <f>0.04/4*100</f>
        <v>1</v>
      </c>
      <c r="AM62" s="248">
        <f>0.04/4*100</f>
        <v>1</v>
      </c>
    </row>
    <row r="63" spans="1:40" ht="18.95" customHeight="1" x14ac:dyDescent="0.25">
      <c r="B63" s="492" t="s">
        <v>640</v>
      </c>
      <c r="C63" s="493"/>
      <c r="D63" s="248">
        <f>F63*супы!B15/G64</f>
        <v>0.01</v>
      </c>
      <c r="E63" s="248">
        <f>G63*супы!B15/G64</f>
        <v>0.01</v>
      </c>
      <c r="F63" s="248">
        <f>0.04/4*100</f>
        <v>1</v>
      </c>
      <c r="G63" s="248">
        <f>0.04/4*100</f>
        <v>1</v>
      </c>
      <c r="J63" s="457" t="s">
        <v>180</v>
      </c>
      <c r="K63" s="458"/>
      <c r="L63" s="118"/>
      <c r="M63" s="106">
        <f>O63*супы!B19/O63</f>
        <v>250</v>
      </c>
      <c r="N63" s="106"/>
      <c r="O63" s="106">
        <f>1000/4*100</f>
        <v>25000</v>
      </c>
      <c r="AH63" s="457" t="s">
        <v>180</v>
      </c>
      <c r="AI63" s="458"/>
      <c r="AJ63" s="118"/>
      <c r="AK63" s="106">
        <f>AM63*супы!B23/AM63</f>
        <v>250</v>
      </c>
      <c r="AL63" s="106"/>
      <c r="AM63" s="106">
        <f>1000/4*100</f>
        <v>25000</v>
      </c>
    </row>
    <row r="64" spans="1:40" ht="18.95" customHeight="1" x14ac:dyDescent="0.25">
      <c r="B64" s="457" t="s">
        <v>180</v>
      </c>
      <c r="C64" s="458"/>
      <c r="D64" s="118"/>
      <c r="E64" s="106">
        <f>G64*супы!B15/G64</f>
        <v>250</v>
      </c>
      <c r="F64" s="106"/>
      <c r="G64" s="106">
        <f>1000/4*100</f>
        <v>25000</v>
      </c>
      <c r="Q64" s="459" t="s">
        <v>181</v>
      </c>
      <c r="R64" s="459"/>
      <c r="S64" s="459"/>
      <c r="T64" s="459"/>
      <c r="U64" s="459"/>
      <c r="V64" s="459"/>
      <c r="W64" s="459"/>
      <c r="X64" s="459"/>
      <c r="Y64" s="459" t="s">
        <v>181</v>
      </c>
      <c r="Z64" s="459"/>
      <c r="AA64" s="459"/>
      <c r="AB64" s="459"/>
      <c r="AC64" s="459"/>
      <c r="AD64" s="459"/>
      <c r="AE64" s="459"/>
      <c r="AF64" s="459"/>
    </row>
    <row r="65" spans="1:40" ht="18.95" customHeight="1" x14ac:dyDescent="0.25">
      <c r="I65" s="249" t="s">
        <v>181</v>
      </c>
      <c r="J65" s="249"/>
      <c r="K65" s="249"/>
      <c r="L65" s="249"/>
      <c r="M65" s="249"/>
      <c r="N65" s="249"/>
      <c r="O65" s="249"/>
      <c r="P65" s="249"/>
      <c r="Q65" s="158" t="s">
        <v>182</v>
      </c>
      <c r="R65" s="158" t="s">
        <v>106</v>
      </c>
      <c r="S65" s="115" t="s">
        <v>107</v>
      </c>
      <c r="T65" s="116" t="s">
        <v>187</v>
      </c>
      <c r="U65" s="158" t="s">
        <v>183</v>
      </c>
      <c r="V65" s="158" t="s">
        <v>184</v>
      </c>
      <c r="W65" s="158" t="s">
        <v>185</v>
      </c>
      <c r="X65" s="158" t="s">
        <v>186</v>
      </c>
      <c r="Y65" s="158" t="s">
        <v>182</v>
      </c>
      <c r="Z65" s="158" t="s">
        <v>106</v>
      </c>
      <c r="AA65" s="115" t="s">
        <v>107</v>
      </c>
      <c r="AB65" s="116" t="s">
        <v>187</v>
      </c>
      <c r="AC65" s="158" t="s">
        <v>183</v>
      </c>
      <c r="AD65" s="158" t="s">
        <v>184</v>
      </c>
      <c r="AE65" s="158" t="s">
        <v>185</v>
      </c>
      <c r="AF65" s="158" t="s">
        <v>186</v>
      </c>
      <c r="AG65" s="460" t="s">
        <v>181</v>
      </c>
      <c r="AH65" s="459"/>
      <c r="AI65" s="459"/>
      <c r="AJ65" s="459"/>
      <c r="AK65" s="459"/>
      <c r="AL65" s="459"/>
      <c r="AM65" s="459"/>
      <c r="AN65" s="459"/>
    </row>
    <row r="66" spans="1:40" ht="18.95" customHeight="1" x14ac:dyDescent="0.25">
      <c r="A66" s="459" t="s">
        <v>181</v>
      </c>
      <c r="B66" s="459"/>
      <c r="C66" s="459"/>
      <c r="D66" s="459"/>
      <c r="E66" s="459"/>
      <c r="F66" s="459"/>
      <c r="G66" s="459"/>
      <c r="H66" s="459"/>
      <c r="I66" s="158" t="s">
        <v>182</v>
      </c>
      <c r="J66" s="158" t="s">
        <v>106</v>
      </c>
      <c r="K66" s="115" t="s">
        <v>107</v>
      </c>
      <c r="L66" s="116" t="s">
        <v>187</v>
      </c>
      <c r="M66" s="158" t="s">
        <v>183</v>
      </c>
      <c r="N66" s="158" t="s">
        <v>184</v>
      </c>
      <c r="O66" s="158" t="s">
        <v>185</v>
      </c>
      <c r="P66" s="158" t="s">
        <v>186</v>
      </c>
      <c r="Q66" s="41">
        <f>супы!E19</f>
        <v>2.6875</v>
      </c>
      <c r="R66" s="41">
        <f>супы!F19</f>
        <v>2.8374999999999999</v>
      </c>
      <c r="S66" s="41">
        <f>супы!G19</f>
        <v>17.454999999999998</v>
      </c>
      <c r="T66" s="41">
        <f>супы!H19</f>
        <v>118.25</v>
      </c>
      <c r="U66" s="41">
        <f>супы!M19</f>
        <v>29.2</v>
      </c>
      <c r="V66" s="41">
        <f>супы!O19</f>
        <v>27.274999999999999</v>
      </c>
      <c r="W66" s="41">
        <f>супы!P19</f>
        <v>1.125</v>
      </c>
      <c r="X66" s="41">
        <f>супы!J19</f>
        <v>8.25</v>
      </c>
      <c r="Y66" s="41">
        <f>супы!E21</f>
        <v>3.5575000000000001</v>
      </c>
      <c r="Z66" s="41">
        <f>супы!F21</f>
        <v>4.5925000000000002</v>
      </c>
      <c r="AA66" s="41">
        <f>супы!G21</f>
        <v>18.7925</v>
      </c>
      <c r="AB66" s="41">
        <f>супы!H21</f>
        <v>144.25</v>
      </c>
      <c r="AC66" s="41">
        <f>супы!M21</f>
        <v>3.4</v>
      </c>
      <c r="AD66" s="41">
        <f>супы!O21</f>
        <v>25.35</v>
      </c>
      <c r="AE66" s="41">
        <f>супы!P21</f>
        <v>1.175</v>
      </c>
      <c r="AF66" s="41">
        <f>супы!J21</f>
        <v>5.75</v>
      </c>
      <c r="AG66" s="158" t="s">
        <v>182</v>
      </c>
      <c r="AH66" s="158" t="s">
        <v>106</v>
      </c>
      <c r="AI66" s="115" t="s">
        <v>107</v>
      </c>
      <c r="AJ66" s="116" t="s">
        <v>187</v>
      </c>
      <c r="AK66" s="158" t="s">
        <v>183</v>
      </c>
      <c r="AL66" s="158" t="s">
        <v>184</v>
      </c>
      <c r="AM66" s="158" t="s">
        <v>185</v>
      </c>
      <c r="AN66" s="158" t="s">
        <v>186</v>
      </c>
    </row>
    <row r="67" spans="1:40" ht="18.95" customHeight="1" x14ac:dyDescent="0.25">
      <c r="A67" s="158" t="s">
        <v>182</v>
      </c>
      <c r="B67" s="158" t="s">
        <v>106</v>
      </c>
      <c r="C67" s="115" t="s">
        <v>107</v>
      </c>
      <c r="D67" s="116" t="s">
        <v>187</v>
      </c>
      <c r="E67" s="158" t="s">
        <v>183</v>
      </c>
      <c r="F67" s="158" t="s">
        <v>184</v>
      </c>
      <c r="G67" s="158" t="s">
        <v>185</v>
      </c>
      <c r="H67" s="158" t="s">
        <v>186</v>
      </c>
      <c r="I67" s="41">
        <f>супы!E17</f>
        <v>5.49</v>
      </c>
      <c r="J67" s="41">
        <f>супы!F17</f>
        <v>5.27</v>
      </c>
      <c r="K67" s="41">
        <f>супы!G17</f>
        <v>16.535</v>
      </c>
      <c r="L67" s="41">
        <f>супы!H17</f>
        <v>148.25</v>
      </c>
      <c r="M67" s="41">
        <f>супы!M17</f>
        <v>42.674999999999997</v>
      </c>
      <c r="N67" s="41">
        <f>супы!O17</f>
        <v>35.575000000000003</v>
      </c>
      <c r="O67" s="41">
        <f>супы!P17</f>
        <v>2.0499999999999998</v>
      </c>
      <c r="P67" s="41">
        <f>супы!J17</f>
        <v>5.8250000000000002</v>
      </c>
      <c r="AG67" s="41">
        <f>супы!E23</f>
        <v>2.5674999999999999</v>
      </c>
      <c r="AH67" s="41">
        <f>супы!F23</f>
        <v>2.78</v>
      </c>
      <c r="AI67" s="41">
        <f>супы!G23</f>
        <v>15.6875</v>
      </c>
      <c r="AJ67" s="41">
        <f>супы!H23</f>
        <v>109</v>
      </c>
      <c r="AK67" s="41">
        <f>супы!M23</f>
        <v>29.5</v>
      </c>
      <c r="AL67" s="41">
        <f>супы!O23</f>
        <v>23.8</v>
      </c>
      <c r="AM67" s="41">
        <f>супы!P23</f>
        <v>1</v>
      </c>
      <c r="AN67" s="41">
        <f>супы!J23</f>
        <v>6.0750000000000002</v>
      </c>
    </row>
    <row r="68" spans="1:40" ht="18.95" customHeight="1" x14ac:dyDescent="0.25">
      <c r="A68" s="41">
        <f>супы!E15</f>
        <v>1.9724999999999999</v>
      </c>
      <c r="B68" s="41">
        <f>супы!F15</f>
        <v>2.7124999999999999</v>
      </c>
      <c r="C68" s="41">
        <f>супы!G15</f>
        <v>12.112500000000001</v>
      </c>
      <c r="D68" s="41">
        <f>супы!H15</f>
        <v>85.75</v>
      </c>
      <c r="E68" s="41">
        <f>супы!M15</f>
        <v>26.7</v>
      </c>
      <c r="F68" s="41">
        <f>супы!O15</f>
        <v>22.774999999999999</v>
      </c>
      <c r="G68" s="41">
        <f>супы!P15</f>
        <v>0.875</v>
      </c>
      <c r="H68" s="41">
        <f>супы!J15</f>
        <v>8.25</v>
      </c>
      <c r="Q68" s="462" t="s">
        <v>579</v>
      </c>
      <c r="R68" s="462"/>
      <c r="S68" s="462"/>
      <c r="T68" s="462"/>
      <c r="U68" s="462"/>
      <c r="V68" s="462"/>
      <c r="W68" s="462"/>
      <c r="X68" s="462"/>
      <c r="Y68" s="462" t="s">
        <v>578</v>
      </c>
      <c r="Z68" s="462"/>
      <c r="AA68" s="462"/>
      <c r="AB68" s="462"/>
      <c r="AC68" s="462"/>
      <c r="AD68" s="462"/>
      <c r="AE68" s="462"/>
      <c r="AF68" s="462"/>
    </row>
    <row r="69" spans="1:40" ht="18.95" customHeight="1" x14ac:dyDescent="0.25">
      <c r="I69" s="462" t="s">
        <v>573</v>
      </c>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t="s">
        <v>580</v>
      </c>
      <c r="AH69" s="462"/>
      <c r="AI69" s="462"/>
      <c r="AJ69" s="462"/>
      <c r="AK69" s="462"/>
      <c r="AL69" s="462"/>
      <c r="AM69" s="462"/>
      <c r="AN69" s="462"/>
    </row>
    <row r="70" spans="1:40" ht="18.95" customHeight="1" x14ac:dyDescent="0.25">
      <c r="A70" s="462" t="s">
        <v>572</v>
      </c>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1:40" ht="18.95" customHeight="1" x14ac:dyDescent="0.25">
      <c r="A71" s="462"/>
      <c r="B71" s="462"/>
      <c r="C71" s="462"/>
      <c r="D71" s="462"/>
      <c r="E71" s="462"/>
      <c r="F71" s="462"/>
      <c r="G71" s="462"/>
      <c r="H71" s="462"/>
      <c r="I71" s="119"/>
      <c r="J71" s="119"/>
      <c r="K71" s="119"/>
      <c r="L71" s="119"/>
      <c r="M71" s="119"/>
      <c r="N71" s="119"/>
      <c r="O71" s="119"/>
      <c r="P71" s="119"/>
      <c r="Q71" s="462"/>
      <c r="R71" s="462"/>
      <c r="S71" s="462"/>
      <c r="T71" s="462"/>
      <c r="U71" s="462"/>
      <c r="V71" s="462"/>
      <c r="W71" s="462"/>
      <c r="X71" s="462"/>
      <c r="Y71" s="119"/>
      <c r="Z71" s="119"/>
      <c r="AA71" s="119"/>
      <c r="AB71" s="119"/>
      <c r="AC71" s="119"/>
      <c r="AD71" s="119"/>
      <c r="AE71" s="119"/>
      <c r="AF71" s="119"/>
      <c r="AG71" s="462"/>
      <c r="AH71" s="462"/>
      <c r="AI71" s="462"/>
      <c r="AJ71" s="462"/>
      <c r="AK71" s="462"/>
      <c r="AL71" s="462"/>
      <c r="AM71" s="462"/>
      <c r="AN71" s="462"/>
    </row>
    <row r="72" spans="1:40" ht="18.95" customHeight="1" x14ac:dyDescent="0.25">
      <c r="A72" s="462"/>
      <c r="B72" s="462"/>
      <c r="C72" s="462"/>
      <c r="D72" s="462"/>
      <c r="E72" s="462"/>
      <c r="F72" s="462"/>
      <c r="G72" s="462"/>
      <c r="H72" s="462"/>
      <c r="I72" s="454" t="s">
        <v>232</v>
      </c>
      <c r="J72" s="454"/>
      <c r="K72" s="454"/>
      <c r="L72" s="119"/>
      <c r="M72" s="119"/>
      <c r="N72" s="119"/>
      <c r="O72" s="119"/>
      <c r="P72" s="119"/>
      <c r="Y72" s="454" t="s">
        <v>232</v>
      </c>
      <c r="Z72" s="454"/>
      <c r="AA72" s="454"/>
      <c r="AB72" s="153"/>
      <c r="AC72" s="153"/>
      <c r="AD72" s="153"/>
      <c r="AE72" s="153"/>
      <c r="AF72" s="153"/>
      <c r="AG72" s="462"/>
      <c r="AH72" s="462"/>
      <c r="AI72" s="462"/>
      <c r="AJ72" s="462"/>
      <c r="AK72" s="462"/>
      <c r="AL72" s="462"/>
      <c r="AM72" s="462"/>
      <c r="AN72" s="462"/>
    </row>
    <row r="73" spans="1:40" ht="18.95" customHeight="1" x14ac:dyDescent="0.25">
      <c r="A73" s="119"/>
      <c r="B73" s="119"/>
      <c r="C73" s="119"/>
      <c r="D73" s="119"/>
      <c r="E73" s="119"/>
      <c r="F73" s="119"/>
      <c r="G73" s="119"/>
      <c r="H73" s="119"/>
      <c r="I73" s="119"/>
      <c r="J73" s="119"/>
      <c r="K73" s="119"/>
      <c r="L73" s="119"/>
      <c r="M73" s="119"/>
      <c r="N73" s="119"/>
      <c r="O73" s="119"/>
      <c r="P73" s="119"/>
      <c r="Q73" s="454" t="s">
        <v>232</v>
      </c>
      <c r="R73" s="454"/>
      <c r="S73" s="454"/>
      <c r="Y73" s="119"/>
      <c r="Z73" s="119"/>
      <c r="AA73" s="119"/>
      <c r="AB73" s="119"/>
      <c r="AC73" s="119"/>
      <c r="AD73" s="119"/>
      <c r="AE73" s="119"/>
      <c r="AF73" s="119"/>
    </row>
    <row r="74" spans="1:40" ht="18.95" customHeight="1" x14ac:dyDescent="0.25">
      <c r="A74" s="454" t="s">
        <v>232</v>
      </c>
      <c r="B74" s="454"/>
      <c r="C74" s="454"/>
      <c r="D74" s="119"/>
      <c r="E74" s="119"/>
      <c r="F74" s="119"/>
      <c r="G74" s="119"/>
      <c r="H74" s="119"/>
      <c r="AG74" s="454" t="s">
        <v>232</v>
      </c>
      <c r="AH74" s="454"/>
      <c r="AI74" s="454"/>
    </row>
    <row r="75" spans="1:40" ht="18.95" customHeight="1" x14ac:dyDescent="0.25">
      <c r="A75" s="119"/>
      <c r="B75" s="119"/>
      <c r="C75" s="119"/>
      <c r="D75" s="119"/>
      <c r="E75" s="119"/>
      <c r="F75" s="119"/>
      <c r="G75" s="119"/>
      <c r="H75" s="119"/>
    </row>
    <row r="76" spans="1:40" ht="18.95" customHeight="1" x14ac:dyDescent="0.25"/>
    <row r="77" spans="1:40" ht="18.95" customHeight="1" x14ac:dyDescent="0.25"/>
    <row r="78" spans="1:40" ht="18.95" customHeight="1" x14ac:dyDescent="0.25"/>
    <row r="79" spans="1:40" ht="18.95" customHeight="1" x14ac:dyDescent="0.25"/>
    <row r="80" spans="1:40" ht="18.95" customHeight="1" x14ac:dyDescent="0.25"/>
    <row r="81" spans="1:40" ht="18.95" customHeight="1" x14ac:dyDescent="0.25"/>
    <row r="82" spans="1:40" ht="18.95" customHeight="1" x14ac:dyDescent="0.25"/>
    <row r="83" spans="1:40" s="167" customFormat="1" x14ac:dyDescent="0.25">
      <c r="A83" s="472" t="s">
        <v>214</v>
      </c>
      <c r="B83" s="472"/>
      <c r="F83" s="472" t="s">
        <v>215</v>
      </c>
      <c r="G83" s="472"/>
      <c r="H83" s="472"/>
      <c r="I83" s="472" t="s">
        <v>214</v>
      </c>
      <c r="J83" s="472"/>
      <c r="N83" s="472" t="s">
        <v>215</v>
      </c>
      <c r="O83" s="472"/>
      <c r="P83" s="472"/>
      <c r="Q83" s="125"/>
      <c r="R83" s="125"/>
      <c r="S83" s="125"/>
      <c r="T83" s="125"/>
      <c r="U83" s="125"/>
      <c r="V83" s="125"/>
      <c r="W83" s="125"/>
      <c r="X83" s="125"/>
    </row>
    <row r="84" spans="1:40" x14ac:dyDescent="0.25">
      <c r="E84" s="454" t="s">
        <v>216</v>
      </c>
      <c r="F84" s="454"/>
      <c r="G84" s="454"/>
      <c r="H84" s="454"/>
      <c r="M84" s="454" t="s">
        <v>216</v>
      </c>
      <c r="N84" s="454"/>
      <c r="O84" s="454"/>
      <c r="P84" s="454"/>
      <c r="Y84" s="167"/>
      <c r="Z84" s="167"/>
      <c r="AA84" s="167"/>
      <c r="AB84" s="167"/>
      <c r="AC84" s="167"/>
      <c r="AD84" s="167"/>
      <c r="AE84" s="167"/>
      <c r="AF84" s="167"/>
      <c r="AG84" s="167"/>
      <c r="AH84" s="167"/>
      <c r="AI84" s="167"/>
      <c r="AJ84" s="167"/>
      <c r="AK84" s="167"/>
      <c r="AL84" s="167"/>
      <c r="AM84" s="167"/>
      <c r="AN84" s="167"/>
    </row>
    <row r="85" spans="1:40" x14ac:dyDescent="0.25">
      <c r="E85" s="161"/>
      <c r="F85" s="161"/>
      <c r="G85" s="161"/>
      <c r="H85" s="161"/>
      <c r="M85" s="161"/>
      <c r="N85" s="161"/>
      <c r="O85" s="161"/>
      <c r="P85" s="161"/>
      <c r="Y85" s="167"/>
      <c r="Z85" s="167"/>
      <c r="AA85" s="167"/>
      <c r="AB85" s="167"/>
      <c r="AC85" s="167"/>
      <c r="AD85" s="167"/>
      <c r="AE85" s="167"/>
      <c r="AF85" s="167"/>
      <c r="AG85" s="167"/>
      <c r="AH85" s="167"/>
      <c r="AI85" s="167"/>
      <c r="AJ85" s="167"/>
      <c r="AK85" s="167"/>
      <c r="AL85" s="167"/>
      <c r="AM85" s="167"/>
      <c r="AN85" s="167"/>
    </row>
    <row r="86" spans="1:40" ht="18.95" customHeight="1" x14ac:dyDescent="0.25">
      <c r="A86" s="414" t="s">
        <v>636</v>
      </c>
      <c r="B86" s="414"/>
      <c r="C86" s="414"/>
      <c r="D86" s="414"/>
      <c r="E86" s="414"/>
      <c r="F86" s="414"/>
      <c r="G86" s="414"/>
      <c r="H86" s="414"/>
      <c r="I86" s="414" t="s">
        <v>637</v>
      </c>
      <c r="J86" s="414"/>
      <c r="K86" s="414"/>
      <c r="L86" s="414"/>
      <c r="M86" s="414"/>
      <c r="N86" s="414"/>
      <c r="O86" s="414"/>
      <c r="P86" s="414"/>
      <c r="Y86" s="167"/>
      <c r="Z86" s="167"/>
      <c r="AA86" s="167"/>
      <c r="AB86" s="167"/>
      <c r="AC86" s="167"/>
      <c r="AD86" s="167"/>
      <c r="AE86" s="167"/>
      <c r="AF86" s="167"/>
      <c r="AG86" s="167"/>
      <c r="AH86" s="167"/>
      <c r="AI86" s="167"/>
      <c r="AJ86" s="167"/>
      <c r="AK86" s="167"/>
      <c r="AL86" s="167"/>
      <c r="AM86" s="167"/>
      <c r="AN86" s="167"/>
    </row>
    <row r="87" spans="1:40" ht="18.95" customHeight="1" x14ac:dyDescent="0.25">
      <c r="A87" s="473" t="s">
        <v>560</v>
      </c>
      <c r="B87" s="465"/>
      <c r="C87" s="465"/>
      <c r="D87" s="465"/>
      <c r="E87" s="465"/>
      <c r="F87" s="465"/>
      <c r="G87" s="465"/>
      <c r="H87" s="465"/>
      <c r="I87" s="473" t="s">
        <v>1017</v>
      </c>
      <c r="J87" s="465"/>
      <c r="K87" s="465"/>
      <c r="L87" s="465"/>
      <c r="M87" s="465"/>
      <c r="N87" s="465"/>
      <c r="O87" s="465"/>
      <c r="P87" s="465"/>
      <c r="Y87" s="167"/>
      <c r="Z87" s="167"/>
      <c r="AA87" s="167"/>
      <c r="AB87" s="167"/>
      <c r="AC87" s="167"/>
      <c r="AD87" s="167"/>
      <c r="AE87" s="167"/>
      <c r="AF87" s="167"/>
      <c r="AG87" s="167"/>
      <c r="AH87" s="167"/>
      <c r="AI87" s="167"/>
      <c r="AJ87" s="167"/>
      <c r="AK87" s="167"/>
      <c r="AL87" s="167"/>
      <c r="AM87" s="167"/>
      <c r="AN87" s="167"/>
    </row>
    <row r="88" spans="1:40" ht="18.95" customHeight="1" x14ac:dyDescent="0.25">
      <c r="A88" s="473" t="s">
        <v>550</v>
      </c>
      <c r="B88" s="473"/>
      <c r="C88" s="473"/>
      <c r="D88" s="473"/>
      <c r="E88" s="473"/>
      <c r="F88" s="473"/>
      <c r="G88" s="473"/>
      <c r="H88" s="473"/>
      <c r="I88" s="473" t="s">
        <v>1016</v>
      </c>
      <c r="J88" s="473"/>
      <c r="K88" s="473"/>
      <c r="L88" s="473"/>
      <c r="M88" s="473"/>
      <c r="N88" s="473"/>
      <c r="O88" s="473"/>
      <c r="P88" s="473"/>
      <c r="Y88" s="167"/>
      <c r="Z88" s="167"/>
      <c r="AA88" s="167"/>
      <c r="AB88" s="167"/>
      <c r="AC88" s="167"/>
      <c r="AD88" s="167"/>
      <c r="AE88" s="167"/>
      <c r="AF88" s="167"/>
      <c r="AG88" s="167"/>
      <c r="AH88" s="167"/>
      <c r="AI88" s="167"/>
      <c r="AJ88" s="167"/>
      <c r="AK88" s="167"/>
      <c r="AL88" s="167"/>
      <c r="AM88" s="167"/>
      <c r="AN88" s="167"/>
    </row>
    <row r="89" spans="1:40" ht="18.95" customHeight="1" x14ac:dyDescent="0.25">
      <c r="A89" s="465" t="s">
        <v>189</v>
      </c>
      <c r="B89" s="465"/>
      <c r="C89" s="465"/>
      <c r="D89" s="465"/>
      <c r="E89" s="465"/>
      <c r="F89" s="465"/>
      <c r="G89" s="465"/>
      <c r="H89" s="465"/>
      <c r="I89" s="465" t="s">
        <v>189</v>
      </c>
      <c r="J89" s="465"/>
      <c r="K89" s="465"/>
      <c r="L89" s="465"/>
      <c r="M89" s="465"/>
      <c r="N89" s="465"/>
      <c r="O89" s="465"/>
      <c r="P89" s="465"/>
      <c r="Y89" s="167"/>
      <c r="Z89" s="167"/>
      <c r="AA89" s="167"/>
      <c r="AB89" s="167"/>
      <c r="AC89" s="167"/>
      <c r="AD89" s="167"/>
      <c r="AE89" s="167"/>
      <c r="AF89" s="167"/>
      <c r="AG89" s="167"/>
      <c r="AH89" s="167"/>
      <c r="AI89" s="167"/>
      <c r="AJ89" s="167"/>
      <c r="AK89" s="167"/>
      <c r="AL89" s="167"/>
      <c r="AM89" s="167"/>
      <c r="AN89" s="167"/>
    </row>
    <row r="90" spans="1:40" ht="18.95" customHeight="1" x14ac:dyDescent="0.25">
      <c r="A90" s="465" t="s">
        <v>190</v>
      </c>
      <c r="B90" s="465"/>
      <c r="C90" s="465"/>
      <c r="D90" s="465"/>
      <c r="E90" s="465"/>
      <c r="F90" s="465"/>
      <c r="G90" s="465"/>
      <c r="H90" s="465"/>
      <c r="I90" s="465" t="s">
        <v>190</v>
      </c>
      <c r="J90" s="465"/>
      <c r="K90" s="465"/>
      <c r="L90" s="465"/>
      <c r="M90" s="465"/>
      <c r="N90" s="465"/>
      <c r="O90" s="465"/>
      <c r="P90" s="465"/>
      <c r="Y90" s="167"/>
      <c r="Z90" s="167"/>
      <c r="AA90" s="167"/>
      <c r="AB90" s="167"/>
      <c r="AC90" s="167"/>
      <c r="AD90" s="167"/>
      <c r="AE90" s="167"/>
      <c r="AF90" s="167"/>
      <c r="AG90" s="167"/>
      <c r="AH90" s="167"/>
      <c r="AI90" s="167"/>
      <c r="AJ90" s="167"/>
      <c r="AK90" s="167"/>
      <c r="AL90" s="167"/>
      <c r="AM90" s="167"/>
      <c r="AN90" s="167"/>
    </row>
    <row r="91" spans="1:40" ht="18.95" customHeight="1" x14ac:dyDescent="0.25">
      <c r="C91" s="159"/>
      <c r="K91" s="159"/>
      <c r="Y91" s="167"/>
      <c r="Z91" s="167"/>
      <c r="AA91" s="167"/>
      <c r="AB91" s="167"/>
      <c r="AC91" s="167"/>
      <c r="AD91" s="167"/>
      <c r="AE91" s="167"/>
      <c r="AF91" s="167"/>
      <c r="AG91" s="167"/>
      <c r="AH91" s="167"/>
      <c r="AI91" s="167"/>
      <c r="AJ91" s="167"/>
      <c r="AK91" s="167"/>
      <c r="AL91" s="167"/>
      <c r="AM91" s="167"/>
      <c r="AN91" s="167"/>
    </row>
    <row r="92" spans="1:40" ht="18.95" customHeight="1" x14ac:dyDescent="0.25">
      <c r="B92" s="466" t="s">
        <v>174</v>
      </c>
      <c r="C92" s="467"/>
      <c r="D92" s="412" t="s">
        <v>179</v>
      </c>
      <c r="E92" s="412"/>
      <c r="F92" s="412"/>
      <c r="G92" s="412"/>
      <c r="J92" s="466" t="s">
        <v>174</v>
      </c>
      <c r="K92" s="467"/>
      <c r="L92" s="412" t="s">
        <v>179</v>
      </c>
      <c r="M92" s="412"/>
      <c r="N92" s="412"/>
      <c r="O92" s="412"/>
      <c r="Y92" s="167"/>
      <c r="Z92" s="167"/>
      <c r="AA92" s="167"/>
      <c r="AB92" s="167"/>
      <c r="AC92" s="167"/>
      <c r="AD92" s="167"/>
      <c r="AE92" s="167"/>
      <c r="AF92" s="167"/>
      <c r="AG92" s="167"/>
      <c r="AH92" s="167"/>
      <c r="AI92" s="167"/>
      <c r="AJ92" s="167"/>
      <c r="AK92" s="167"/>
      <c r="AL92" s="167"/>
      <c r="AM92" s="167"/>
      <c r="AN92" s="167"/>
    </row>
    <row r="93" spans="1:40" ht="18.95" customHeight="1" x14ac:dyDescent="0.25">
      <c r="B93" s="468"/>
      <c r="C93" s="469"/>
      <c r="D93" s="412" t="s">
        <v>177</v>
      </c>
      <c r="E93" s="412"/>
      <c r="F93" s="412" t="s">
        <v>178</v>
      </c>
      <c r="G93" s="412"/>
      <c r="J93" s="468"/>
      <c r="K93" s="469"/>
      <c r="L93" s="412"/>
      <c r="M93" s="412"/>
      <c r="N93" s="412" t="s">
        <v>178</v>
      </c>
      <c r="O93" s="412"/>
      <c r="Y93" s="167"/>
      <c r="Z93" s="167"/>
      <c r="AA93" s="167"/>
      <c r="AB93" s="167"/>
      <c r="AC93" s="167"/>
      <c r="AD93" s="167"/>
      <c r="AE93" s="167"/>
      <c r="AF93" s="167"/>
      <c r="AG93" s="167"/>
      <c r="AH93" s="167"/>
      <c r="AI93" s="167"/>
      <c r="AJ93" s="167"/>
      <c r="AK93" s="167"/>
      <c r="AL93" s="167"/>
      <c r="AM93" s="167"/>
      <c r="AN93" s="167"/>
    </row>
    <row r="94" spans="1:40" ht="18.95" customHeight="1" x14ac:dyDescent="0.25">
      <c r="B94" s="470"/>
      <c r="C94" s="471"/>
      <c r="D94" s="158" t="s">
        <v>175</v>
      </c>
      <c r="E94" s="158" t="s">
        <v>176</v>
      </c>
      <c r="F94" s="158" t="s">
        <v>175</v>
      </c>
      <c r="G94" s="158" t="s">
        <v>176</v>
      </c>
      <c r="J94" s="470"/>
      <c r="K94" s="471"/>
      <c r="L94" s="158" t="s">
        <v>175</v>
      </c>
      <c r="M94" s="158" t="s">
        <v>176</v>
      </c>
      <c r="N94" s="158" t="s">
        <v>175</v>
      </c>
      <c r="O94" s="158" t="s">
        <v>176</v>
      </c>
      <c r="Y94" s="167"/>
      <c r="Z94" s="167"/>
      <c r="AA94" s="167"/>
      <c r="AB94" s="167"/>
      <c r="AC94" s="167"/>
      <c r="AD94" s="167"/>
      <c r="AE94" s="167"/>
      <c r="AF94" s="167"/>
      <c r="AG94" s="167"/>
      <c r="AH94" s="167"/>
      <c r="AI94" s="167"/>
      <c r="AJ94" s="167"/>
      <c r="AK94" s="167"/>
      <c r="AL94" s="167"/>
      <c r="AM94" s="167"/>
      <c r="AN94" s="167"/>
    </row>
    <row r="95" spans="1:40" ht="18.95" customHeight="1" x14ac:dyDescent="0.25">
      <c r="B95" s="455" t="s">
        <v>976</v>
      </c>
      <c r="C95" s="456"/>
      <c r="D95" s="106"/>
      <c r="E95" s="106">
        <f>G95*супы!B25/G102</f>
        <v>20</v>
      </c>
      <c r="F95" s="106"/>
      <c r="G95" s="106">
        <f>80/4*100</f>
        <v>2000</v>
      </c>
      <c r="J95" s="455" t="s">
        <v>1018</v>
      </c>
      <c r="K95" s="456"/>
      <c r="L95" s="106"/>
      <c r="M95" s="106"/>
      <c r="N95" s="106">
        <v>935</v>
      </c>
      <c r="O95" s="106">
        <v>935</v>
      </c>
      <c r="Y95" s="167"/>
      <c r="Z95" s="167"/>
      <c r="AA95" s="167"/>
      <c r="AB95" s="167"/>
      <c r="AC95" s="167"/>
      <c r="AD95" s="167"/>
      <c r="AE95" s="167"/>
      <c r="AF95" s="167"/>
      <c r="AG95" s="167"/>
      <c r="AH95" s="167"/>
      <c r="AI95" s="167"/>
      <c r="AJ95" s="167"/>
      <c r="AK95" s="167"/>
      <c r="AL95" s="167"/>
      <c r="AM95" s="167"/>
      <c r="AN95" s="167"/>
    </row>
    <row r="96" spans="1:40" ht="18.95" customHeight="1" x14ac:dyDescent="0.25">
      <c r="B96" s="455" t="s">
        <v>581</v>
      </c>
      <c r="C96" s="456"/>
      <c r="D96" s="106"/>
      <c r="E96" s="106">
        <f>G96*супы!B25/G102</f>
        <v>50</v>
      </c>
      <c r="F96" s="106"/>
      <c r="G96" s="106">
        <f>200/4*100</f>
        <v>5000</v>
      </c>
      <c r="J96" s="455" t="s">
        <v>484</v>
      </c>
      <c r="K96" s="456"/>
      <c r="L96" s="106"/>
      <c r="M96" s="106"/>
      <c r="N96" s="106">
        <v>175</v>
      </c>
      <c r="O96" s="106">
        <v>175</v>
      </c>
      <c r="Y96" s="167"/>
      <c r="Z96" s="167"/>
      <c r="AA96" s="167"/>
      <c r="AB96" s="167"/>
      <c r="AC96" s="167"/>
      <c r="AD96" s="167"/>
      <c r="AE96" s="167"/>
      <c r="AF96" s="167"/>
      <c r="AG96" s="167"/>
      <c r="AH96" s="167"/>
      <c r="AI96" s="167"/>
      <c r="AJ96" s="167"/>
      <c r="AK96" s="167"/>
      <c r="AL96" s="167"/>
      <c r="AM96" s="167"/>
      <c r="AN96" s="167"/>
    </row>
    <row r="97" spans="1:40" ht="18.95" customHeight="1" x14ac:dyDescent="0.25">
      <c r="B97" s="455" t="s">
        <v>211</v>
      </c>
      <c r="C97" s="456"/>
      <c r="D97" s="106">
        <f>F97*супы!B25/G102</f>
        <v>12</v>
      </c>
      <c r="E97" s="106">
        <f>G97*супы!B25/G102</f>
        <v>10</v>
      </c>
      <c r="F97" s="106">
        <f>48/4*100</f>
        <v>1200</v>
      </c>
      <c r="G97" s="106">
        <f>40/4*100</f>
        <v>1000</v>
      </c>
      <c r="J97" s="455" t="s">
        <v>274</v>
      </c>
      <c r="K97" s="456"/>
      <c r="L97" s="106"/>
      <c r="M97" s="106"/>
      <c r="N97" s="106">
        <v>6</v>
      </c>
      <c r="O97" s="106">
        <v>291</v>
      </c>
      <c r="Y97" s="167"/>
      <c r="Z97" s="167"/>
      <c r="AA97" s="167"/>
      <c r="AB97" s="167"/>
      <c r="AC97" s="167"/>
      <c r="AD97" s="167"/>
      <c r="AE97" s="167"/>
      <c r="AF97" s="167"/>
      <c r="AG97" s="167"/>
      <c r="AH97" s="167"/>
      <c r="AI97" s="167"/>
      <c r="AJ97" s="167"/>
      <c r="AK97" s="167"/>
      <c r="AL97" s="167"/>
      <c r="AM97" s="167"/>
      <c r="AN97" s="167"/>
    </row>
    <row r="98" spans="1:40" ht="18.95" customHeight="1" x14ac:dyDescent="0.25">
      <c r="B98" s="455" t="s">
        <v>207</v>
      </c>
      <c r="C98" s="456"/>
      <c r="D98" s="106">
        <f>F98*супы!B5/G102</f>
        <v>5</v>
      </c>
      <c r="E98" s="106">
        <f>G98*супы!B25/G102</f>
        <v>5</v>
      </c>
      <c r="F98" s="106">
        <f>20/4*100</f>
        <v>500</v>
      </c>
      <c r="G98" s="106">
        <f>20/4*100</f>
        <v>500</v>
      </c>
      <c r="J98" s="492" t="s">
        <v>476</v>
      </c>
      <c r="K98" s="493"/>
      <c r="L98" s="248"/>
      <c r="M98" s="248"/>
      <c r="N98" s="248">
        <v>25</v>
      </c>
      <c r="O98" s="248">
        <v>25</v>
      </c>
      <c r="Y98" s="167"/>
      <c r="Z98" s="167"/>
      <c r="AA98" s="167"/>
      <c r="AB98" s="167"/>
      <c r="AC98" s="167"/>
      <c r="AD98" s="167"/>
      <c r="AE98" s="167"/>
      <c r="AF98" s="167"/>
      <c r="AG98" s="167"/>
      <c r="AH98" s="167"/>
      <c r="AI98" s="167"/>
      <c r="AJ98" s="167"/>
      <c r="AK98" s="167"/>
      <c r="AL98" s="167"/>
      <c r="AM98" s="167"/>
      <c r="AN98" s="167"/>
    </row>
    <row r="99" spans="1:40" ht="18.95" customHeight="1" x14ac:dyDescent="0.25">
      <c r="B99" s="455" t="s">
        <v>562</v>
      </c>
      <c r="C99" s="456"/>
      <c r="D99" s="106">
        <f>F99*супы!B25/G102</f>
        <v>237.5</v>
      </c>
      <c r="E99" s="106">
        <f>G99*супы!B25/G102</f>
        <v>237.5</v>
      </c>
      <c r="F99" s="106">
        <f>950/4*100</f>
        <v>23750</v>
      </c>
      <c r="G99" s="106">
        <f>950/4*100</f>
        <v>23750</v>
      </c>
      <c r="J99" s="455"/>
      <c r="K99" s="456"/>
      <c r="L99" s="106"/>
      <c r="M99" s="106"/>
      <c r="N99" s="106"/>
      <c r="O99" s="106"/>
      <c r="Y99" s="167"/>
      <c r="Z99" s="167"/>
      <c r="AA99" s="167"/>
      <c r="AB99" s="167"/>
      <c r="AC99" s="167"/>
      <c r="AD99" s="167"/>
      <c r="AE99" s="167"/>
      <c r="AF99" s="167"/>
      <c r="AG99" s="167"/>
      <c r="AH99" s="167"/>
      <c r="AI99" s="167"/>
      <c r="AJ99" s="167"/>
      <c r="AK99" s="167"/>
      <c r="AL99" s="167"/>
      <c r="AM99" s="167"/>
      <c r="AN99" s="167"/>
    </row>
    <row r="100" spans="1:40" ht="18.95" customHeight="1" x14ac:dyDescent="0.25">
      <c r="B100" s="492" t="s">
        <v>476</v>
      </c>
      <c r="C100" s="493"/>
      <c r="D100" s="248">
        <f>F100*супы!B25/G102</f>
        <v>1.5</v>
      </c>
      <c r="E100" s="248">
        <f>G100*супы!B25/G102</f>
        <v>1.5</v>
      </c>
      <c r="F100" s="248">
        <f>6/4*100</f>
        <v>150</v>
      </c>
      <c r="G100" s="248">
        <f>6/4*100</f>
        <v>150</v>
      </c>
      <c r="J100" s="492"/>
      <c r="K100" s="493"/>
      <c r="L100" s="248"/>
      <c r="M100" s="248"/>
      <c r="N100" s="248"/>
      <c r="O100" s="248"/>
      <c r="Y100" s="167"/>
      <c r="Z100" s="167"/>
      <c r="AA100" s="167"/>
      <c r="AB100" s="167"/>
      <c r="AC100" s="167"/>
      <c r="AD100" s="167"/>
      <c r="AE100" s="167"/>
      <c r="AF100" s="167"/>
      <c r="AG100" s="167"/>
      <c r="AH100" s="167"/>
      <c r="AI100" s="167"/>
      <c r="AJ100" s="167"/>
      <c r="AK100" s="167"/>
      <c r="AL100" s="167"/>
      <c r="AM100" s="167"/>
      <c r="AN100" s="167"/>
    </row>
    <row r="101" spans="1:40" ht="18.95" customHeight="1" x14ac:dyDescent="0.25">
      <c r="B101" s="492" t="s">
        <v>640</v>
      </c>
      <c r="C101" s="493"/>
      <c r="D101" s="248">
        <f>F101*супы!B25/G102</f>
        <v>0.01</v>
      </c>
      <c r="E101" s="248">
        <f>G101*супы!B25/G102</f>
        <v>0.01</v>
      </c>
      <c r="F101" s="248">
        <f>0.04/4*100</f>
        <v>1</v>
      </c>
      <c r="G101" s="248">
        <f>0.04/4*100</f>
        <v>1</v>
      </c>
      <c r="J101" s="492"/>
      <c r="K101" s="493"/>
      <c r="L101" s="248"/>
      <c r="M101" s="248"/>
      <c r="N101" s="248"/>
      <c r="O101" s="248"/>
      <c r="Y101" s="167"/>
      <c r="Z101" s="167"/>
      <c r="AA101" s="167"/>
      <c r="AB101" s="167"/>
      <c r="AC101" s="167"/>
      <c r="AD101" s="167"/>
      <c r="AE101" s="167"/>
      <c r="AF101" s="167"/>
      <c r="AG101" s="167"/>
      <c r="AH101" s="167"/>
      <c r="AI101" s="167"/>
      <c r="AJ101" s="167"/>
      <c r="AK101" s="167"/>
      <c r="AL101" s="167"/>
      <c r="AM101" s="167"/>
      <c r="AN101" s="167"/>
    </row>
    <row r="102" spans="1:40" ht="18.95" customHeight="1" x14ac:dyDescent="0.25">
      <c r="B102" s="457" t="s">
        <v>180</v>
      </c>
      <c r="C102" s="458"/>
      <c r="D102" s="118"/>
      <c r="E102" s="106">
        <f>G102*супы!B25/G102</f>
        <v>250</v>
      </c>
      <c r="F102" s="106"/>
      <c r="G102" s="106">
        <f>1000/4*100</f>
        <v>25000</v>
      </c>
      <c r="J102" s="457" t="s">
        <v>180</v>
      </c>
      <c r="K102" s="458"/>
      <c r="L102" s="118"/>
      <c r="M102" s="106"/>
      <c r="N102" s="106"/>
      <c r="O102" s="106">
        <v>1000</v>
      </c>
      <c r="Y102" s="167"/>
      <c r="Z102" s="167"/>
      <c r="AA102" s="167"/>
      <c r="AB102" s="167"/>
      <c r="AC102" s="167"/>
      <c r="AD102" s="167"/>
      <c r="AE102" s="167"/>
      <c r="AF102" s="167"/>
      <c r="AG102" s="167"/>
      <c r="AH102" s="167"/>
      <c r="AI102" s="167"/>
      <c r="AJ102" s="167"/>
      <c r="AK102" s="167"/>
      <c r="AL102" s="167"/>
      <c r="AM102" s="167"/>
      <c r="AN102" s="167"/>
    </row>
    <row r="103" spans="1:40" ht="18.95" customHeight="1" x14ac:dyDescent="0.25">
      <c r="Y103" s="167"/>
      <c r="Z103" s="167"/>
      <c r="AA103" s="167"/>
      <c r="AB103" s="167"/>
      <c r="AC103" s="167"/>
      <c r="AD103" s="167"/>
      <c r="AE103" s="167"/>
      <c r="AF103" s="167"/>
      <c r="AG103" s="167"/>
      <c r="AH103" s="167"/>
      <c r="AI103" s="167"/>
      <c r="AJ103" s="167"/>
      <c r="AK103" s="167"/>
      <c r="AL103" s="167"/>
      <c r="AM103" s="167"/>
      <c r="AN103" s="167"/>
    </row>
    <row r="104" spans="1:40" ht="18.95" customHeight="1" x14ac:dyDescent="0.25">
      <c r="A104" s="459" t="s">
        <v>181</v>
      </c>
      <c r="B104" s="459"/>
      <c r="C104" s="459"/>
      <c r="D104" s="459"/>
      <c r="E104" s="459"/>
      <c r="F104" s="459"/>
      <c r="G104" s="459"/>
      <c r="H104" s="459"/>
      <c r="I104" s="459" t="s">
        <v>181</v>
      </c>
      <c r="J104" s="459"/>
      <c r="K104" s="459"/>
      <c r="L104" s="459"/>
      <c r="M104" s="459"/>
      <c r="N104" s="459"/>
      <c r="O104" s="459"/>
      <c r="P104" s="459"/>
      <c r="Y104" s="167"/>
      <c r="Z104" s="167"/>
      <c r="AA104" s="167"/>
      <c r="AB104" s="167"/>
      <c r="AC104" s="167"/>
      <c r="AD104" s="167"/>
      <c r="AE104" s="167"/>
      <c r="AF104" s="167"/>
      <c r="AG104" s="167"/>
      <c r="AH104" s="167"/>
      <c r="AI104" s="167"/>
      <c r="AJ104" s="167"/>
      <c r="AK104" s="167"/>
      <c r="AL104" s="167"/>
      <c r="AM104" s="167"/>
      <c r="AN104" s="167"/>
    </row>
    <row r="105" spans="1:40" ht="18.95" customHeight="1" x14ac:dyDescent="0.25">
      <c r="A105" s="106" t="s">
        <v>182</v>
      </c>
      <c r="B105" s="158" t="s">
        <v>106</v>
      </c>
      <c r="C105" s="115" t="s">
        <v>107</v>
      </c>
      <c r="D105" s="116" t="s">
        <v>187</v>
      </c>
      <c r="E105" s="158" t="s">
        <v>183</v>
      </c>
      <c r="F105" s="158" t="s">
        <v>184</v>
      </c>
      <c r="G105" s="158" t="s">
        <v>185</v>
      </c>
      <c r="H105" s="160" t="s">
        <v>186</v>
      </c>
      <c r="I105" s="106" t="s">
        <v>182</v>
      </c>
      <c r="J105" s="158" t="s">
        <v>106</v>
      </c>
      <c r="K105" s="115" t="s">
        <v>107</v>
      </c>
      <c r="L105" s="116" t="s">
        <v>187</v>
      </c>
      <c r="M105" s="158" t="s">
        <v>183</v>
      </c>
      <c r="N105" s="158" t="s">
        <v>184</v>
      </c>
      <c r="O105" s="158" t="s">
        <v>185</v>
      </c>
      <c r="P105" s="189" t="s">
        <v>186</v>
      </c>
      <c r="Y105" s="167"/>
      <c r="Z105" s="167"/>
      <c r="AA105" s="167"/>
      <c r="AB105" s="167"/>
      <c r="AC105" s="167"/>
      <c r="AD105" s="167"/>
      <c r="AE105" s="167"/>
      <c r="AF105" s="167"/>
      <c r="AG105" s="167"/>
      <c r="AH105" s="167"/>
      <c r="AI105" s="167"/>
      <c r="AJ105" s="167"/>
      <c r="AK105" s="167"/>
      <c r="AL105" s="167"/>
      <c r="AM105" s="167"/>
      <c r="AN105" s="167"/>
    </row>
    <row r="106" spans="1:40" ht="18.95" customHeight="1" x14ac:dyDescent="0.25">
      <c r="A106" s="41">
        <f>супы!E25</f>
        <v>2.5649999999999999</v>
      </c>
      <c r="B106" s="41">
        <f>супы!F25</f>
        <v>5.5425000000000004</v>
      </c>
      <c r="C106" s="41">
        <f>супы!G25</f>
        <v>11.62</v>
      </c>
      <c r="D106" s="41">
        <f>супы!H25</f>
        <v>115.75</v>
      </c>
      <c r="E106" s="41">
        <f>супы!M25</f>
        <v>28.55</v>
      </c>
      <c r="F106" s="41">
        <f>супы!O25</f>
        <v>10.675000000000001</v>
      </c>
      <c r="G106" s="41">
        <f>супы!P25</f>
        <v>0.65</v>
      </c>
      <c r="H106" s="41">
        <f>супы!J25</f>
        <v>0.5</v>
      </c>
      <c r="I106" s="41">
        <f>супы!E27</f>
        <v>5.47</v>
      </c>
      <c r="J106" s="41">
        <f>супы!F27</f>
        <v>4.7450000000000001</v>
      </c>
      <c r="K106" s="41">
        <f>супы!G27</f>
        <v>17.954999999999998</v>
      </c>
      <c r="L106" s="41">
        <f>супы!H27</f>
        <v>150</v>
      </c>
      <c r="M106" s="41">
        <f>супы!M27</f>
        <v>163</v>
      </c>
      <c r="N106" s="41">
        <f>супы!O27</f>
        <v>26.675000000000001</v>
      </c>
      <c r="O106" s="41">
        <f>супы!P27</f>
        <v>0.65</v>
      </c>
      <c r="P106" s="41">
        <f>супы!J27</f>
        <v>0.82499999999999996</v>
      </c>
      <c r="Y106" s="167"/>
      <c r="Z106" s="167"/>
      <c r="AA106" s="167"/>
      <c r="AB106" s="167"/>
      <c r="AC106" s="167"/>
      <c r="AD106" s="167"/>
      <c r="AE106" s="167"/>
      <c r="AF106" s="167"/>
      <c r="AG106" s="167"/>
      <c r="AH106" s="167"/>
      <c r="AI106" s="167"/>
      <c r="AJ106" s="167"/>
      <c r="AK106" s="167"/>
      <c r="AL106" s="167"/>
      <c r="AM106" s="167"/>
      <c r="AN106" s="167"/>
    </row>
    <row r="107" spans="1:40" ht="18.95" customHeight="1" x14ac:dyDescent="0.25">
      <c r="Y107" s="167"/>
      <c r="Z107" s="167"/>
      <c r="AA107" s="167"/>
      <c r="AB107" s="167"/>
      <c r="AC107" s="167"/>
      <c r="AD107" s="167"/>
      <c r="AE107" s="167"/>
      <c r="AF107" s="167"/>
      <c r="AG107" s="167"/>
      <c r="AH107" s="167"/>
      <c r="AI107" s="167"/>
      <c r="AJ107" s="167"/>
      <c r="AK107" s="167"/>
      <c r="AL107" s="167"/>
      <c r="AM107" s="167"/>
      <c r="AN107" s="167"/>
    </row>
    <row r="108" spans="1:40" ht="18.95" customHeight="1" x14ac:dyDescent="0.25">
      <c r="A108" s="487" t="s">
        <v>582</v>
      </c>
      <c r="B108" s="487"/>
      <c r="C108" s="487"/>
      <c r="D108" s="487"/>
      <c r="E108" s="487"/>
      <c r="F108" s="487"/>
      <c r="G108" s="487"/>
      <c r="H108" s="487"/>
      <c r="I108" s="487" t="s">
        <v>584</v>
      </c>
      <c r="J108" s="487"/>
      <c r="K108" s="487"/>
      <c r="L108" s="487"/>
      <c r="M108" s="487"/>
      <c r="N108" s="487"/>
      <c r="O108" s="487"/>
      <c r="P108" s="487"/>
      <c r="Y108" s="167"/>
      <c r="Z108" s="167"/>
      <c r="AA108" s="167"/>
      <c r="AB108" s="167"/>
      <c r="AC108" s="167"/>
      <c r="AD108" s="167"/>
      <c r="AE108" s="167"/>
      <c r="AF108" s="167"/>
      <c r="AG108" s="167"/>
      <c r="AH108" s="167"/>
      <c r="AI108" s="167"/>
      <c r="AJ108" s="167"/>
      <c r="AK108" s="167"/>
      <c r="AL108" s="167"/>
      <c r="AM108" s="167"/>
      <c r="AN108" s="167"/>
    </row>
    <row r="109" spans="1:40" ht="18.95" customHeight="1" x14ac:dyDescent="0.25">
      <c r="A109" s="487"/>
      <c r="B109" s="487"/>
      <c r="C109" s="487"/>
      <c r="D109" s="487"/>
      <c r="E109" s="487"/>
      <c r="F109" s="487"/>
      <c r="G109" s="487"/>
      <c r="H109" s="487"/>
      <c r="I109" s="487"/>
      <c r="J109" s="487"/>
      <c r="K109" s="487"/>
      <c r="L109" s="487"/>
      <c r="M109" s="487"/>
      <c r="N109" s="487"/>
      <c r="O109" s="487"/>
      <c r="P109" s="487"/>
      <c r="Y109" s="167"/>
      <c r="Z109" s="167"/>
      <c r="AA109" s="167"/>
      <c r="AB109" s="167"/>
      <c r="AC109" s="167"/>
      <c r="AD109" s="167"/>
      <c r="AE109" s="167"/>
      <c r="AF109" s="167"/>
      <c r="AG109" s="167"/>
      <c r="AH109" s="167"/>
      <c r="AI109" s="167"/>
      <c r="AJ109" s="167"/>
      <c r="AK109" s="167"/>
      <c r="AL109" s="167"/>
      <c r="AM109" s="167"/>
      <c r="AN109" s="167"/>
    </row>
    <row r="110" spans="1:40" ht="18.95" customHeight="1" x14ac:dyDescent="0.25">
      <c r="A110" s="119"/>
      <c r="B110" s="119"/>
      <c r="C110" s="119"/>
      <c r="D110" s="119"/>
      <c r="E110" s="119"/>
      <c r="F110" s="119"/>
      <c r="G110" s="119"/>
      <c r="H110" s="119"/>
      <c r="I110" s="487"/>
      <c r="J110" s="487"/>
      <c r="K110" s="487"/>
      <c r="L110" s="487"/>
      <c r="M110" s="487"/>
      <c r="N110" s="487"/>
      <c r="O110" s="487"/>
      <c r="P110" s="487"/>
      <c r="Y110" s="167"/>
      <c r="Z110" s="167"/>
      <c r="AA110" s="167"/>
      <c r="AB110" s="167"/>
      <c r="AC110" s="167"/>
      <c r="AD110" s="167"/>
      <c r="AE110" s="167"/>
      <c r="AF110" s="167"/>
      <c r="AG110" s="167"/>
      <c r="AH110" s="167"/>
      <c r="AI110" s="167"/>
      <c r="AJ110" s="167"/>
      <c r="AK110" s="167"/>
      <c r="AL110" s="167"/>
      <c r="AM110" s="167"/>
      <c r="AN110" s="167"/>
    </row>
    <row r="111" spans="1:40" ht="18.95" customHeight="1" x14ac:dyDescent="0.25">
      <c r="A111" s="454" t="s">
        <v>232</v>
      </c>
      <c r="B111" s="454"/>
      <c r="C111" s="454"/>
      <c r="D111" s="153"/>
      <c r="E111" s="153"/>
      <c r="F111" s="153"/>
      <c r="G111" s="153"/>
      <c r="H111" s="153"/>
      <c r="I111" s="119"/>
      <c r="J111" s="119"/>
      <c r="K111" s="119"/>
      <c r="L111" s="119"/>
      <c r="M111" s="119"/>
      <c r="N111" s="119"/>
      <c r="O111" s="119"/>
      <c r="P111" s="119"/>
      <c r="Y111" s="167"/>
      <c r="Z111" s="167"/>
      <c r="AA111" s="167"/>
      <c r="AB111" s="167"/>
      <c r="AC111" s="167"/>
      <c r="AD111" s="167"/>
      <c r="AE111" s="167"/>
      <c r="AF111" s="167"/>
      <c r="AG111" s="167"/>
      <c r="AH111" s="167"/>
      <c r="AI111" s="167"/>
      <c r="AJ111" s="167"/>
      <c r="AK111" s="167"/>
      <c r="AL111" s="167"/>
      <c r="AM111" s="167"/>
      <c r="AN111" s="167"/>
    </row>
    <row r="112" spans="1:40" ht="18.95" customHeight="1" x14ac:dyDescent="0.25">
      <c r="I112" s="454" t="s">
        <v>232</v>
      </c>
      <c r="J112" s="454"/>
      <c r="K112" s="454"/>
      <c r="Y112" s="167"/>
      <c r="Z112" s="167"/>
      <c r="AA112" s="167"/>
      <c r="AB112" s="167"/>
      <c r="AC112" s="167"/>
      <c r="AD112" s="167"/>
      <c r="AE112" s="167"/>
      <c r="AF112" s="167"/>
      <c r="AG112" s="167"/>
      <c r="AH112" s="167"/>
      <c r="AI112" s="167"/>
      <c r="AJ112" s="167"/>
      <c r="AK112" s="167"/>
      <c r="AL112" s="167"/>
      <c r="AM112" s="167"/>
      <c r="AN112" s="167"/>
    </row>
    <row r="113" spans="1:40" ht="18.95" customHeight="1" x14ac:dyDescent="0.25">
      <c r="Y113" s="167"/>
      <c r="Z113" s="167"/>
      <c r="AA113" s="167"/>
      <c r="AB113" s="167"/>
      <c r="AC113" s="167"/>
      <c r="AD113" s="167"/>
      <c r="AE113" s="167"/>
      <c r="AF113" s="167"/>
      <c r="AG113" s="167"/>
      <c r="AH113" s="167"/>
      <c r="AI113" s="167"/>
      <c r="AJ113" s="167"/>
      <c r="AK113" s="167"/>
      <c r="AL113" s="167"/>
      <c r="AM113" s="167"/>
      <c r="AN113" s="167"/>
    </row>
    <row r="114" spans="1:40" ht="18.95" customHeight="1" x14ac:dyDescent="0.25">
      <c r="Y114" s="167"/>
      <c r="Z114" s="167"/>
      <c r="AA114" s="167"/>
      <c r="AB114" s="167"/>
      <c r="AC114" s="167"/>
      <c r="AD114" s="167"/>
      <c r="AE114" s="167"/>
      <c r="AF114" s="167"/>
      <c r="AG114" s="167"/>
      <c r="AH114" s="167"/>
      <c r="AI114" s="167"/>
      <c r="AJ114" s="167"/>
      <c r="AK114" s="167"/>
      <c r="AL114" s="167"/>
      <c r="AM114" s="167"/>
      <c r="AN114" s="167"/>
    </row>
    <row r="115" spans="1:40" ht="18.95" customHeight="1" x14ac:dyDescent="0.25">
      <c r="Y115" s="167"/>
      <c r="Z115" s="167"/>
      <c r="AA115" s="167"/>
      <c r="AB115" s="167"/>
      <c r="AC115" s="167"/>
      <c r="AD115" s="167"/>
      <c r="AE115" s="167"/>
      <c r="AF115" s="167"/>
      <c r="AG115" s="167"/>
      <c r="AH115" s="167"/>
      <c r="AI115" s="167"/>
      <c r="AJ115" s="167"/>
      <c r="AK115" s="167"/>
      <c r="AL115" s="167"/>
      <c r="AM115" s="167"/>
      <c r="AN115" s="167"/>
    </row>
    <row r="116" spans="1:40" ht="18.95" customHeight="1" x14ac:dyDescent="0.25">
      <c r="Y116" s="167"/>
      <c r="Z116" s="167"/>
      <c r="AA116" s="167"/>
      <c r="AB116" s="167"/>
      <c r="AC116" s="167"/>
      <c r="AD116" s="167"/>
      <c r="AE116" s="167"/>
      <c r="AF116" s="167"/>
      <c r="AG116" s="167"/>
      <c r="AH116" s="167"/>
      <c r="AI116" s="167"/>
      <c r="AJ116" s="167"/>
      <c r="AK116" s="167"/>
      <c r="AL116" s="167"/>
      <c r="AM116" s="167"/>
      <c r="AN116" s="167"/>
    </row>
    <row r="117" spans="1:40" ht="18.95" customHeight="1" x14ac:dyDescent="0.25">
      <c r="Y117" s="167"/>
      <c r="Z117" s="167"/>
      <c r="AA117" s="167"/>
      <c r="AB117" s="167"/>
      <c r="AC117" s="167"/>
      <c r="AD117" s="167"/>
      <c r="AE117" s="167"/>
      <c r="AF117" s="167"/>
      <c r="AG117" s="167"/>
      <c r="AH117" s="167"/>
      <c r="AI117" s="167"/>
      <c r="AJ117" s="167"/>
      <c r="AK117" s="167"/>
      <c r="AL117" s="167"/>
      <c r="AM117" s="167"/>
      <c r="AN117" s="167"/>
    </row>
    <row r="118" spans="1:40" ht="18.95" customHeight="1" x14ac:dyDescent="0.25">
      <c r="Y118" s="167"/>
      <c r="Z118" s="167"/>
      <c r="AA118" s="167"/>
      <c r="AB118" s="167"/>
      <c r="AC118" s="167"/>
      <c r="AD118" s="167"/>
      <c r="AE118" s="167"/>
      <c r="AF118" s="167"/>
      <c r="AG118" s="167"/>
      <c r="AH118" s="167"/>
      <c r="AI118" s="167"/>
      <c r="AJ118" s="167"/>
      <c r="AK118" s="167"/>
      <c r="AL118" s="167"/>
      <c r="AM118" s="167"/>
      <c r="AN118" s="167"/>
    </row>
    <row r="119" spans="1:40" ht="18.95" customHeight="1" x14ac:dyDescent="0.25">
      <c r="Y119" s="167"/>
      <c r="Z119" s="167"/>
      <c r="AA119" s="167"/>
      <c r="AB119" s="167"/>
      <c r="AC119" s="167"/>
      <c r="AD119" s="167"/>
      <c r="AE119" s="167"/>
      <c r="AF119" s="167"/>
      <c r="AG119" s="167"/>
      <c r="AH119" s="167"/>
      <c r="AI119" s="167"/>
      <c r="AJ119" s="167"/>
      <c r="AK119" s="167"/>
      <c r="AL119" s="167"/>
      <c r="AM119" s="167"/>
      <c r="AN119" s="167"/>
    </row>
    <row r="120" spans="1:40" ht="18.95" customHeight="1" x14ac:dyDescent="0.25">
      <c r="Y120" s="167"/>
      <c r="Z120" s="167"/>
      <c r="AA120" s="167"/>
      <c r="AB120" s="167"/>
      <c r="AC120" s="167"/>
      <c r="AD120" s="167"/>
      <c r="AE120" s="167"/>
      <c r="AF120" s="167"/>
      <c r="AG120" s="167"/>
      <c r="AH120" s="167"/>
      <c r="AI120" s="167"/>
      <c r="AJ120" s="167"/>
      <c r="AK120" s="167"/>
      <c r="AL120" s="167"/>
      <c r="AM120" s="167"/>
      <c r="AN120" s="167"/>
    </row>
    <row r="121" spans="1:40" ht="18.95" customHeight="1" x14ac:dyDescent="0.25">
      <c r="Y121" s="167"/>
      <c r="Z121" s="167"/>
      <c r="AA121" s="167"/>
      <c r="AB121" s="167"/>
      <c r="AC121" s="167"/>
      <c r="AD121" s="167"/>
      <c r="AE121" s="167"/>
      <c r="AF121" s="167"/>
      <c r="AG121" s="167"/>
      <c r="AH121" s="167"/>
      <c r="AI121" s="167"/>
      <c r="AJ121" s="167"/>
      <c r="AK121" s="167"/>
      <c r="AL121" s="167"/>
      <c r="AM121" s="167"/>
      <c r="AN121" s="167"/>
    </row>
    <row r="122" spans="1:40" ht="18.95" customHeight="1" x14ac:dyDescent="0.25">
      <c r="Y122" s="167"/>
      <c r="Z122" s="167"/>
      <c r="AA122" s="167"/>
      <c r="AB122" s="167"/>
      <c r="AC122" s="167"/>
      <c r="AD122" s="167"/>
      <c r="AE122" s="167"/>
      <c r="AF122" s="167"/>
      <c r="AG122" s="167"/>
      <c r="AH122" s="167"/>
      <c r="AI122" s="167"/>
      <c r="AJ122" s="167"/>
      <c r="AK122" s="167"/>
      <c r="AL122" s="167"/>
      <c r="AM122" s="167"/>
      <c r="AN122" s="167"/>
    </row>
    <row r="123" spans="1:40" ht="18.95" customHeight="1" x14ac:dyDescent="0.25">
      <c r="Y123" s="167"/>
      <c r="Z123" s="167"/>
      <c r="AA123" s="167"/>
      <c r="AB123" s="167"/>
      <c r="AC123" s="167"/>
      <c r="AD123" s="167"/>
      <c r="AE123" s="167"/>
      <c r="AF123" s="167"/>
      <c r="AG123" s="167"/>
      <c r="AH123" s="167"/>
      <c r="AI123" s="167"/>
      <c r="AJ123" s="167"/>
      <c r="AK123" s="167"/>
      <c r="AL123" s="167"/>
      <c r="AM123" s="167"/>
      <c r="AN123" s="167"/>
    </row>
    <row r="124" spans="1:40" ht="18.95" customHeight="1" x14ac:dyDescent="0.25">
      <c r="Y124" s="167"/>
      <c r="Z124" s="167"/>
      <c r="AA124" s="167"/>
      <c r="AB124" s="167"/>
      <c r="AC124" s="167"/>
      <c r="AD124" s="167"/>
      <c r="AE124" s="167"/>
      <c r="AF124" s="167"/>
      <c r="AG124" s="167"/>
      <c r="AH124" s="167"/>
      <c r="AI124" s="167"/>
      <c r="AJ124" s="167"/>
      <c r="AK124" s="167"/>
      <c r="AL124" s="167"/>
      <c r="AM124" s="167"/>
      <c r="AN124" s="167"/>
    </row>
    <row r="125" spans="1:40" ht="18.95" customHeight="1" x14ac:dyDescent="0.25">
      <c r="A125" s="167"/>
      <c r="B125" s="167"/>
      <c r="C125" s="167"/>
      <c r="D125" s="167"/>
      <c r="E125" s="167"/>
      <c r="F125" s="167"/>
      <c r="G125" s="167"/>
      <c r="H125" s="167"/>
      <c r="Y125" s="167"/>
      <c r="Z125" s="167"/>
      <c r="AA125" s="167"/>
      <c r="AB125" s="167"/>
      <c r="AC125" s="167"/>
      <c r="AD125" s="167"/>
      <c r="AE125" s="167"/>
      <c r="AF125" s="167"/>
      <c r="AG125" s="167"/>
      <c r="AH125" s="167"/>
      <c r="AI125" s="167"/>
      <c r="AJ125" s="167"/>
      <c r="AK125" s="167"/>
      <c r="AL125" s="167"/>
      <c r="AM125" s="167"/>
      <c r="AN125" s="167"/>
    </row>
  </sheetData>
  <mergeCells count="294">
    <mergeCell ref="AG74:AI74"/>
    <mergeCell ref="A104:H104"/>
    <mergeCell ref="A108:H109"/>
    <mergeCell ref="A111:C111"/>
    <mergeCell ref="I104:P104"/>
    <mergeCell ref="I108:P110"/>
    <mergeCell ref="Y28:AF30"/>
    <mergeCell ref="Y32:AA32"/>
    <mergeCell ref="Y68:AF70"/>
    <mergeCell ref="Y72:AA72"/>
    <mergeCell ref="AH63:AI63"/>
    <mergeCell ref="AG65:AN65"/>
    <mergeCell ref="AG69:AN72"/>
    <mergeCell ref="I72:K72"/>
    <mergeCell ref="R57:S57"/>
    <mergeCell ref="R58:S58"/>
    <mergeCell ref="R59:S59"/>
    <mergeCell ref="R62:S62"/>
    <mergeCell ref="Q64:X64"/>
    <mergeCell ref="Q68:X71"/>
    <mergeCell ref="Q31:S31"/>
    <mergeCell ref="AG28:AN29"/>
    <mergeCell ref="AG31:AI31"/>
    <mergeCell ref="A42:B42"/>
    <mergeCell ref="A1:B1"/>
    <mergeCell ref="F1:H1"/>
    <mergeCell ref="I1:J1"/>
    <mergeCell ref="N1:P1"/>
    <mergeCell ref="Q1:R1"/>
    <mergeCell ref="V1:X1"/>
    <mergeCell ref="A28:H28"/>
    <mergeCell ref="A32:H35"/>
    <mergeCell ref="J21:K21"/>
    <mergeCell ref="I33:K33"/>
    <mergeCell ref="I29:P31"/>
    <mergeCell ref="A4:H4"/>
    <mergeCell ref="I4:P4"/>
    <mergeCell ref="Q4:X4"/>
    <mergeCell ref="A7:H7"/>
    <mergeCell ref="I7:P7"/>
    <mergeCell ref="Q7:X7"/>
    <mergeCell ref="B15:C15"/>
    <mergeCell ref="J15:K15"/>
    <mergeCell ref="R15:S15"/>
    <mergeCell ref="B20:C20"/>
    <mergeCell ref="R22:S22"/>
    <mergeCell ref="Q28:X29"/>
    <mergeCell ref="B21:C21"/>
    <mergeCell ref="Y1:Z1"/>
    <mergeCell ref="AD1:AF1"/>
    <mergeCell ref="AG1:AH1"/>
    <mergeCell ref="AL1:AN1"/>
    <mergeCell ref="E2:H2"/>
    <mergeCell ref="M2:P2"/>
    <mergeCell ref="U2:X2"/>
    <mergeCell ref="AC2:AF2"/>
    <mergeCell ref="AK2:AN2"/>
    <mergeCell ref="Y4:AF4"/>
    <mergeCell ref="AG4:AN4"/>
    <mergeCell ref="A5:H5"/>
    <mergeCell ref="I5:P5"/>
    <mergeCell ref="Q5:X5"/>
    <mergeCell ref="Y5:AF5"/>
    <mergeCell ref="AG5:AN5"/>
    <mergeCell ref="A6:H6"/>
    <mergeCell ref="I6:P6"/>
    <mergeCell ref="Q6:X6"/>
    <mergeCell ref="Y6:AF6"/>
    <mergeCell ref="AG6:AN6"/>
    <mergeCell ref="Y7:AF7"/>
    <mergeCell ref="AG7:AN7"/>
    <mergeCell ref="A8:H8"/>
    <mergeCell ref="I8:P8"/>
    <mergeCell ref="Q8:X8"/>
    <mergeCell ref="Y8:AF8"/>
    <mergeCell ref="AG8:AN8"/>
    <mergeCell ref="B10:C12"/>
    <mergeCell ref="D10:G10"/>
    <mergeCell ref="J10:K12"/>
    <mergeCell ref="L10:O10"/>
    <mergeCell ref="R10:S12"/>
    <mergeCell ref="T10:W10"/>
    <mergeCell ref="Z10:AA12"/>
    <mergeCell ref="AB10:AE10"/>
    <mergeCell ref="AH10:AI12"/>
    <mergeCell ref="AJ10:AM10"/>
    <mergeCell ref="D11:E11"/>
    <mergeCell ref="F11:G11"/>
    <mergeCell ref="L11:M11"/>
    <mergeCell ref="N11:O11"/>
    <mergeCell ref="T11:U11"/>
    <mergeCell ref="V11:W11"/>
    <mergeCell ref="AB11:AC11"/>
    <mergeCell ref="AD11:AE11"/>
    <mergeCell ref="AJ11:AK11"/>
    <mergeCell ref="AL11:AM11"/>
    <mergeCell ref="B13:C13"/>
    <mergeCell ref="J13:K13"/>
    <mergeCell ref="R13:S13"/>
    <mergeCell ref="Z13:AA13"/>
    <mergeCell ref="AH13:AI13"/>
    <mergeCell ref="B14:C14"/>
    <mergeCell ref="J14:K14"/>
    <mergeCell ref="R14:S14"/>
    <mergeCell ref="Z14:AA14"/>
    <mergeCell ref="AH14:AI14"/>
    <mergeCell ref="Z15:AA15"/>
    <mergeCell ref="AH15:AI15"/>
    <mergeCell ref="B18:C18"/>
    <mergeCell ref="J18:K18"/>
    <mergeCell ref="R18:S18"/>
    <mergeCell ref="AH18:AI18"/>
    <mergeCell ref="B19:C19"/>
    <mergeCell ref="R19:S19"/>
    <mergeCell ref="AH19:AI19"/>
    <mergeCell ref="B16:C16"/>
    <mergeCell ref="J16:K16"/>
    <mergeCell ref="R16:S16"/>
    <mergeCell ref="AH16:AI16"/>
    <mergeCell ref="B17:C17"/>
    <mergeCell ref="J17:K17"/>
    <mergeCell ref="R17:S17"/>
    <mergeCell ref="AH17:AI17"/>
    <mergeCell ref="Z16:AA16"/>
    <mergeCell ref="Z17:AA17"/>
    <mergeCell ref="Z18:AA18"/>
    <mergeCell ref="Z19:AA19"/>
    <mergeCell ref="B22:C22"/>
    <mergeCell ref="Z22:AA22"/>
    <mergeCell ref="B23:C23"/>
    <mergeCell ref="B26:C26"/>
    <mergeCell ref="AL42:AN42"/>
    <mergeCell ref="F42:H42"/>
    <mergeCell ref="I42:J42"/>
    <mergeCell ref="N42:P42"/>
    <mergeCell ref="Q42:R42"/>
    <mergeCell ref="V42:X42"/>
    <mergeCell ref="B24:C24"/>
    <mergeCell ref="B25:C25"/>
    <mergeCell ref="I25:P25"/>
    <mergeCell ref="J22:K22"/>
    <mergeCell ref="AK43:AN43"/>
    <mergeCell ref="A45:H45"/>
    <mergeCell ref="I45:P45"/>
    <mergeCell ref="Q45:X45"/>
    <mergeCell ref="Y45:AF45"/>
    <mergeCell ref="AG45:AN45"/>
    <mergeCell ref="A37:C37"/>
    <mergeCell ref="Y42:Z42"/>
    <mergeCell ref="AD42:AF42"/>
    <mergeCell ref="AG42:AH42"/>
    <mergeCell ref="AG48:AN48"/>
    <mergeCell ref="A49:H49"/>
    <mergeCell ref="I49:P49"/>
    <mergeCell ref="Q49:X49"/>
    <mergeCell ref="Y49:AF49"/>
    <mergeCell ref="AG49:AN49"/>
    <mergeCell ref="A46:H46"/>
    <mergeCell ref="I46:P46"/>
    <mergeCell ref="Q46:X46"/>
    <mergeCell ref="Y46:AF46"/>
    <mergeCell ref="AG46:AN46"/>
    <mergeCell ref="A47:H47"/>
    <mergeCell ref="I47:P47"/>
    <mergeCell ref="Q47:X47"/>
    <mergeCell ref="Y47:AF47"/>
    <mergeCell ref="AG47:AN47"/>
    <mergeCell ref="AJ51:AM51"/>
    <mergeCell ref="D52:E52"/>
    <mergeCell ref="F52:G52"/>
    <mergeCell ref="L52:M52"/>
    <mergeCell ref="N52:O52"/>
    <mergeCell ref="T52:U52"/>
    <mergeCell ref="V52:W52"/>
    <mergeCell ref="AB52:AC52"/>
    <mergeCell ref="AD52:AE52"/>
    <mergeCell ref="AJ52:AK52"/>
    <mergeCell ref="AL52:AM52"/>
    <mergeCell ref="D51:G51"/>
    <mergeCell ref="J51:K53"/>
    <mergeCell ref="L51:O51"/>
    <mergeCell ref="R51:S53"/>
    <mergeCell ref="T51:W51"/>
    <mergeCell ref="Z51:AA53"/>
    <mergeCell ref="AB51:AE51"/>
    <mergeCell ref="AH51:AI53"/>
    <mergeCell ref="AH54:AI54"/>
    <mergeCell ref="B57:C57"/>
    <mergeCell ref="J57:K57"/>
    <mergeCell ref="Z57:AA57"/>
    <mergeCell ref="AH57:AI57"/>
    <mergeCell ref="B55:C55"/>
    <mergeCell ref="J55:K55"/>
    <mergeCell ref="R55:S55"/>
    <mergeCell ref="Z55:AA55"/>
    <mergeCell ref="AH55:AI55"/>
    <mergeCell ref="B56:C56"/>
    <mergeCell ref="J56:K56"/>
    <mergeCell ref="R56:S56"/>
    <mergeCell ref="Z56:AA56"/>
    <mergeCell ref="AH56:AI56"/>
    <mergeCell ref="AH59:AI59"/>
    <mergeCell ref="B60:C60"/>
    <mergeCell ref="Z62:AA62"/>
    <mergeCell ref="AH60:AI60"/>
    <mergeCell ref="J60:K60"/>
    <mergeCell ref="J59:K59"/>
    <mergeCell ref="J61:K61"/>
    <mergeCell ref="J58:K58"/>
    <mergeCell ref="Z58:AA58"/>
    <mergeCell ref="AH58:AI58"/>
    <mergeCell ref="AH61:AI61"/>
    <mergeCell ref="AH62:AI62"/>
    <mergeCell ref="B62:C62"/>
    <mergeCell ref="Y64:AF64"/>
    <mergeCell ref="A83:B83"/>
    <mergeCell ref="F83:H83"/>
    <mergeCell ref="I83:J83"/>
    <mergeCell ref="N83:P83"/>
    <mergeCell ref="A66:H66"/>
    <mergeCell ref="Q73:S73"/>
    <mergeCell ref="A70:H72"/>
    <mergeCell ref="A74:C74"/>
    <mergeCell ref="I69:P70"/>
    <mergeCell ref="B64:C64"/>
    <mergeCell ref="A88:H88"/>
    <mergeCell ref="I88:P88"/>
    <mergeCell ref="A89:H89"/>
    <mergeCell ref="I89:P89"/>
    <mergeCell ref="A86:H86"/>
    <mergeCell ref="I86:P86"/>
    <mergeCell ref="A87:H87"/>
    <mergeCell ref="I87:P87"/>
    <mergeCell ref="E84:H84"/>
    <mergeCell ref="M84:P84"/>
    <mergeCell ref="B95:C95"/>
    <mergeCell ref="J95:K95"/>
    <mergeCell ref="D93:E93"/>
    <mergeCell ref="F93:G93"/>
    <mergeCell ref="L93:M93"/>
    <mergeCell ref="N93:O93"/>
    <mergeCell ref="A90:H90"/>
    <mergeCell ref="I90:P90"/>
    <mergeCell ref="B92:C94"/>
    <mergeCell ref="D92:G92"/>
    <mergeCell ref="J92:K94"/>
    <mergeCell ref="L92:O92"/>
    <mergeCell ref="I112:K112"/>
    <mergeCell ref="B102:C102"/>
    <mergeCell ref="J102:K102"/>
    <mergeCell ref="B98:C98"/>
    <mergeCell ref="J98:K98"/>
    <mergeCell ref="B99:C99"/>
    <mergeCell ref="J99:K99"/>
    <mergeCell ref="B96:C96"/>
    <mergeCell ref="J96:K96"/>
    <mergeCell ref="B97:C97"/>
    <mergeCell ref="J97:K97"/>
    <mergeCell ref="B100:C100"/>
    <mergeCell ref="B101:C101"/>
    <mergeCell ref="J100:K100"/>
    <mergeCell ref="J101:K101"/>
    <mergeCell ref="R20:S20"/>
    <mergeCell ref="R21:S21"/>
    <mergeCell ref="Q24:X24"/>
    <mergeCell ref="Z20:AA20"/>
    <mergeCell ref="Z21:AA21"/>
    <mergeCell ref="Y24:AF24"/>
    <mergeCell ref="AH20:AI20"/>
    <mergeCell ref="AH21:AI21"/>
    <mergeCell ref="AG24:AN24"/>
    <mergeCell ref="AH22:AI22"/>
    <mergeCell ref="B63:C63"/>
    <mergeCell ref="J62:K62"/>
    <mergeCell ref="J63:K63"/>
    <mergeCell ref="R60:S60"/>
    <mergeCell ref="R61:S61"/>
    <mergeCell ref="Z60:AA60"/>
    <mergeCell ref="Z61:AA61"/>
    <mergeCell ref="J23:K23"/>
    <mergeCell ref="Z59:AA59"/>
    <mergeCell ref="B54:C54"/>
    <mergeCell ref="J54:K54"/>
    <mergeCell ref="R54:S54"/>
    <mergeCell ref="Z54:AA54"/>
    <mergeCell ref="B51:C53"/>
    <mergeCell ref="A48:H48"/>
    <mergeCell ref="I48:P48"/>
    <mergeCell ref="Q48:X48"/>
    <mergeCell ref="Y48:AF48"/>
    <mergeCell ref="E43:H43"/>
    <mergeCell ref="M43:P43"/>
    <mergeCell ref="U43:X43"/>
    <mergeCell ref="AC43:AF43"/>
  </mergeCells>
  <pageMargins left="0.7" right="0.7" top="0.75" bottom="0.75" header="0.3" footer="0.3"/>
  <pageSetup paperSize="9" fitToWidth="0" fitToHeight="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A37" workbookViewId="0">
      <selection activeCell="A54" sqref="A54"/>
    </sheetView>
  </sheetViews>
  <sheetFormatPr defaultRowHeight="15" x14ac:dyDescent="0.25"/>
  <cols>
    <col min="1" max="1" width="65.7109375" style="205" customWidth="1"/>
    <col min="2" max="16" width="9.7109375" style="93" customWidth="1"/>
    <col min="17" max="18" width="9.7109375" style="141" customWidth="1"/>
    <col min="19" max="19" width="9.7109375" style="93" customWidth="1"/>
    <col min="20" max="16384" width="9.140625" style="93"/>
  </cols>
  <sheetData>
    <row r="1" spans="1:19" ht="18.95" customHeight="1" thickBot="1" x14ac:dyDescent="0.3">
      <c r="A1" s="443" t="s">
        <v>0</v>
      </c>
      <c r="B1" s="443"/>
      <c r="C1" s="443"/>
      <c r="D1" s="443"/>
      <c r="E1" s="443"/>
      <c r="F1" s="443"/>
      <c r="G1" s="443"/>
      <c r="H1" s="443"/>
      <c r="I1" s="443"/>
      <c r="J1" s="443"/>
      <c r="K1" s="443"/>
      <c r="L1" s="443"/>
      <c r="M1" s="443"/>
      <c r="N1" s="443"/>
      <c r="O1" s="443"/>
      <c r="P1" s="443"/>
      <c r="Q1" s="443"/>
      <c r="R1" s="443"/>
      <c r="S1" s="443"/>
    </row>
    <row r="2" spans="1:19" ht="18.95" customHeight="1" thickBot="1" x14ac:dyDescent="0.3">
      <c r="A2" s="447" t="s">
        <v>1</v>
      </c>
      <c r="B2" s="444" t="s">
        <v>2</v>
      </c>
      <c r="C2" s="446"/>
      <c r="D2" s="449" t="s">
        <v>3</v>
      </c>
      <c r="E2" s="451" t="s">
        <v>4</v>
      </c>
      <c r="F2" s="452"/>
      <c r="G2" s="452"/>
      <c r="H2" s="453"/>
      <c r="I2" s="451" t="s">
        <v>5</v>
      </c>
      <c r="J2" s="452"/>
      <c r="K2" s="452"/>
      <c r="L2" s="453"/>
      <c r="M2" s="451" t="s">
        <v>6</v>
      </c>
      <c r="N2" s="452"/>
      <c r="O2" s="452"/>
      <c r="P2" s="453"/>
      <c r="Q2" s="444" t="s">
        <v>7</v>
      </c>
      <c r="R2" s="533"/>
      <c r="S2" s="446"/>
    </row>
    <row r="3" spans="1:19" ht="59.1" customHeight="1" thickBot="1" x14ac:dyDescent="0.3">
      <c r="A3" s="448"/>
      <c r="B3" s="2" t="s">
        <v>8</v>
      </c>
      <c r="C3" s="3" t="s">
        <v>9</v>
      </c>
      <c r="D3" s="450"/>
      <c r="E3" s="16" t="s">
        <v>10</v>
      </c>
      <c r="F3" s="16" t="s">
        <v>11</v>
      </c>
      <c r="G3" s="16" t="s">
        <v>12</v>
      </c>
      <c r="H3" s="16" t="s">
        <v>13</v>
      </c>
      <c r="I3" s="5" t="s">
        <v>14</v>
      </c>
      <c r="J3" s="5" t="s">
        <v>15</v>
      </c>
      <c r="K3" s="188" t="s">
        <v>16</v>
      </c>
      <c r="L3" s="5" t="s">
        <v>1002</v>
      </c>
      <c r="M3" s="5" t="s">
        <v>18</v>
      </c>
      <c r="N3" s="5" t="s">
        <v>19</v>
      </c>
      <c r="O3" s="5" t="s">
        <v>20</v>
      </c>
      <c r="P3" s="5" t="s">
        <v>21</v>
      </c>
      <c r="Q3" s="7" t="s">
        <v>22</v>
      </c>
      <c r="R3" s="8" t="s">
        <v>23</v>
      </c>
      <c r="S3" s="3" t="s">
        <v>24</v>
      </c>
    </row>
    <row r="4" spans="1:19" s="94" customFormat="1" ht="18.95" customHeight="1" x14ac:dyDescent="0.25">
      <c r="A4" s="177" t="s">
        <v>171</v>
      </c>
      <c r="B4" s="10" t="s">
        <v>25</v>
      </c>
      <c r="C4" s="10" t="s">
        <v>25</v>
      </c>
      <c r="D4" s="10" t="s">
        <v>25</v>
      </c>
      <c r="E4" s="10" t="s">
        <v>25</v>
      </c>
      <c r="F4" s="10" t="s">
        <v>25</v>
      </c>
      <c r="G4" s="10" t="s">
        <v>25</v>
      </c>
      <c r="H4" s="10" t="s">
        <v>25</v>
      </c>
      <c r="I4" s="10" t="s">
        <v>25</v>
      </c>
      <c r="J4" s="10" t="s">
        <v>25</v>
      </c>
      <c r="K4" s="10" t="s">
        <v>25</v>
      </c>
      <c r="L4" s="10" t="s">
        <v>25</v>
      </c>
      <c r="M4" s="10" t="s">
        <v>25</v>
      </c>
      <c r="N4" s="10" t="s">
        <v>25</v>
      </c>
      <c r="O4" s="10" t="s">
        <v>25</v>
      </c>
      <c r="P4" s="10" t="s">
        <v>25</v>
      </c>
      <c r="Q4" s="130" t="s">
        <v>25</v>
      </c>
      <c r="R4" s="130" t="s">
        <v>25</v>
      </c>
      <c r="S4" s="27"/>
    </row>
    <row r="5" spans="1:19" ht="30" customHeight="1" x14ac:dyDescent="0.25">
      <c r="A5" s="133" t="s">
        <v>943</v>
      </c>
      <c r="B5" s="191">
        <v>75</v>
      </c>
      <c r="C5" s="191"/>
      <c r="D5" s="11">
        <f>B5</f>
        <v>75</v>
      </c>
      <c r="E5" s="13">
        <f>E6*D5/D6</f>
        <v>4.1100000000000003</v>
      </c>
      <c r="F5" s="13">
        <f>F6*D5/D6</f>
        <v>1.44</v>
      </c>
      <c r="G5" s="13">
        <f>G6*D5/D6</f>
        <v>35.53</v>
      </c>
      <c r="H5" s="13">
        <f>H6*D5/D6</f>
        <v>125</v>
      </c>
      <c r="I5" s="12">
        <f>I6*D5/D6</f>
        <v>0.08</v>
      </c>
      <c r="J5" s="12">
        <f>J6*D5/D6</f>
        <v>0.25</v>
      </c>
      <c r="K5" s="12">
        <f>K6*D5/D6</f>
        <v>0</v>
      </c>
      <c r="L5" s="12">
        <f>L6*D5/D6</f>
        <v>0</v>
      </c>
      <c r="M5" s="12">
        <f>M6*D5/D6</f>
        <v>14.29</v>
      </c>
      <c r="N5" s="12">
        <f>N6*D5/D6</f>
        <v>40.11</v>
      </c>
      <c r="O5" s="12">
        <f>O6*D5/D6</f>
        <v>17.079999999999998</v>
      </c>
      <c r="P5" s="12">
        <f>P6*D5/D6</f>
        <v>1.17</v>
      </c>
      <c r="Q5" s="136">
        <v>406</v>
      </c>
      <c r="R5" s="136">
        <v>2011</v>
      </c>
      <c r="S5" s="30"/>
    </row>
    <row r="6" spans="1:19" ht="18.95" customHeight="1" x14ac:dyDescent="0.25">
      <c r="A6" s="133"/>
      <c r="B6" s="191"/>
      <c r="C6" s="191"/>
      <c r="D6" s="190">
        <v>75</v>
      </c>
      <c r="E6" s="190">
        <v>4.1100000000000003</v>
      </c>
      <c r="F6" s="190">
        <v>1.44</v>
      </c>
      <c r="G6" s="190">
        <v>35.53</v>
      </c>
      <c r="H6" s="190">
        <v>125</v>
      </c>
      <c r="I6" s="190">
        <v>0.08</v>
      </c>
      <c r="J6" s="190">
        <v>0.25</v>
      </c>
      <c r="K6" s="190">
        <v>0</v>
      </c>
      <c r="L6" s="190"/>
      <c r="M6" s="190">
        <v>14.29</v>
      </c>
      <c r="N6" s="190">
        <v>40.11</v>
      </c>
      <c r="O6" s="190">
        <v>17.079999999999998</v>
      </c>
      <c r="P6" s="190">
        <v>1.17</v>
      </c>
      <c r="Q6" s="136"/>
      <c r="R6" s="136"/>
      <c r="S6" s="30"/>
    </row>
    <row r="7" spans="1:19" ht="30" customHeight="1" x14ac:dyDescent="0.25">
      <c r="A7" s="133" t="s">
        <v>942</v>
      </c>
      <c r="B7" s="191">
        <v>75</v>
      </c>
      <c r="C7" s="191"/>
      <c r="D7" s="11">
        <f>B7</f>
        <v>75</v>
      </c>
      <c r="E7" s="13">
        <f>E8*D7/D8</f>
        <v>4.71</v>
      </c>
      <c r="F7" s="13">
        <f>F8*D7/D8</f>
        <v>1.92</v>
      </c>
      <c r="G7" s="13">
        <f>G8*D7/D8</f>
        <v>27.53</v>
      </c>
      <c r="H7" s="13">
        <f>H8*D7/D8</f>
        <v>146</v>
      </c>
      <c r="I7" s="12">
        <f>I8*D7/D8</f>
        <v>0.08</v>
      </c>
      <c r="J7" s="12">
        <f>J8*D7/D8</f>
        <v>0.62</v>
      </c>
      <c r="K7" s="12">
        <f>K8*D7/D8</f>
        <v>6.25</v>
      </c>
      <c r="L7" s="12">
        <f>L8*D7/D8</f>
        <v>0</v>
      </c>
      <c r="M7" s="12">
        <f>M8*D7/D8</f>
        <v>18.03</v>
      </c>
      <c r="N7" s="12">
        <f>N8*D7/D8</f>
        <v>46.52</v>
      </c>
      <c r="O7" s="12">
        <f>O8*D7/D8</f>
        <v>18.28</v>
      </c>
      <c r="P7" s="12">
        <f>P8*D7/D8</f>
        <v>0.88</v>
      </c>
      <c r="Q7" s="136">
        <v>406</v>
      </c>
      <c r="R7" s="136">
        <v>2011</v>
      </c>
      <c r="S7" s="30"/>
    </row>
    <row r="8" spans="1:19" ht="18.95" customHeight="1" x14ac:dyDescent="0.25">
      <c r="A8" s="180"/>
      <c r="B8" s="203"/>
      <c r="C8" s="203"/>
      <c r="D8" s="190">
        <v>75</v>
      </c>
      <c r="E8" s="190">
        <v>4.71</v>
      </c>
      <c r="F8" s="190">
        <v>1.92</v>
      </c>
      <c r="G8" s="190">
        <v>27.53</v>
      </c>
      <c r="H8" s="190">
        <v>146</v>
      </c>
      <c r="I8" s="190">
        <v>0.08</v>
      </c>
      <c r="J8" s="190">
        <v>0.62</v>
      </c>
      <c r="K8" s="190">
        <v>6.25</v>
      </c>
      <c r="L8" s="190"/>
      <c r="M8" s="190">
        <v>18.03</v>
      </c>
      <c r="N8" s="190">
        <v>46.52</v>
      </c>
      <c r="O8" s="190">
        <v>18.28</v>
      </c>
      <c r="P8" s="190">
        <v>0.88</v>
      </c>
      <c r="Q8" s="136"/>
      <c r="R8" s="136"/>
      <c r="S8" s="30"/>
    </row>
    <row r="9" spans="1:19" s="23" customFormat="1" ht="30" customHeight="1" x14ac:dyDescent="0.25">
      <c r="A9" s="133" t="s">
        <v>941</v>
      </c>
      <c r="B9" s="191">
        <v>75</v>
      </c>
      <c r="C9" s="191"/>
      <c r="D9" s="26">
        <f>B9</f>
        <v>75</v>
      </c>
      <c r="E9" s="13">
        <f>E10*D9/D10</f>
        <v>4.51</v>
      </c>
      <c r="F9" s="13">
        <f>F10*D9/D10</f>
        <v>2.2999999999999998</v>
      </c>
      <c r="G9" s="13">
        <f>G10*D9/D10</f>
        <v>30.41</v>
      </c>
      <c r="H9" s="13">
        <f>H10*D9/D10</f>
        <v>160</v>
      </c>
      <c r="I9" s="12">
        <f>I10*D9/D10</f>
        <v>0.09</v>
      </c>
      <c r="J9" s="12">
        <f>J10*D9/D10</f>
        <v>0.5</v>
      </c>
      <c r="K9" s="12">
        <f>K10*D9/D10</f>
        <v>0</v>
      </c>
      <c r="L9" s="12">
        <f>L10*D9/D10</f>
        <v>0</v>
      </c>
      <c r="M9" s="12">
        <f>M10*D9/D10</f>
        <v>14.94</v>
      </c>
      <c r="N9" s="12">
        <f>N10*D9/D10</f>
        <v>50.34</v>
      </c>
      <c r="O9" s="12">
        <f>O10*D9/D10</f>
        <v>20.170000000000002</v>
      </c>
      <c r="P9" s="12">
        <f>P10*D9/D10</f>
        <v>0.9</v>
      </c>
      <c r="Q9" s="136">
        <v>406</v>
      </c>
      <c r="R9" s="136">
        <v>2011</v>
      </c>
      <c r="S9" s="30"/>
    </row>
    <row r="10" spans="1:19" ht="18.95" customHeight="1" x14ac:dyDescent="0.25">
      <c r="A10" s="133"/>
      <c r="B10" s="191"/>
      <c r="C10" s="191"/>
      <c r="D10" s="29">
        <v>75</v>
      </c>
      <c r="E10" s="190">
        <v>4.51</v>
      </c>
      <c r="F10" s="190">
        <v>2.2999999999999998</v>
      </c>
      <c r="G10" s="190">
        <v>30.41</v>
      </c>
      <c r="H10" s="190">
        <v>160</v>
      </c>
      <c r="I10" s="190">
        <v>0.09</v>
      </c>
      <c r="J10" s="190">
        <v>0.5</v>
      </c>
      <c r="K10" s="190">
        <v>0</v>
      </c>
      <c r="L10" s="190"/>
      <c r="M10" s="190">
        <v>14.94</v>
      </c>
      <c r="N10" s="190">
        <v>50.34</v>
      </c>
      <c r="O10" s="190">
        <v>20.170000000000002</v>
      </c>
      <c r="P10" s="190">
        <v>0.9</v>
      </c>
      <c r="Q10" s="136"/>
      <c r="R10" s="136"/>
      <c r="S10" s="30"/>
    </row>
    <row r="11" spans="1:19" ht="18.95" customHeight="1" x14ac:dyDescent="0.25">
      <c r="A11" s="133" t="s">
        <v>940</v>
      </c>
      <c r="B11" s="191">
        <v>75</v>
      </c>
      <c r="C11" s="191"/>
      <c r="D11" s="11">
        <f>B11</f>
        <v>75</v>
      </c>
      <c r="E11" s="13">
        <f>E12*D11/D12</f>
        <v>4.46</v>
      </c>
      <c r="F11" s="13">
        <f>F12*D11/D12</f>
        <v>2.98</v>
      </c>
      <c r="G11" s="13">
        <f>G12*D11/D12</f>
        <v>44.12</v>
      </c>
      <c r="H11" s="13">
        <f>H12*D11/D12</f>
        <v>222</v>
      </c>
      <c r="I11" s="12">
        <f>I12*D11/D12</f>
        <v>0.08</v>
      </c>
      <c r="J11" s="12">
        <f>J12*D11/D12</f>
        <v>0.08</v>
      </c>
      <c r="K11" s="12">
        <f>K12*D11/D12</f>
        <v>18</v>
      </c>
      <c r="L11" s="12">
        <f>L12*D11/D12</f>
        <v>0</v>
      </c>
      <c r="M11" s="12">
        <f>M12*D11/D12</f>
        <v>15.6</v>
      </c>
      <c r="N11" s="12">
        <f>N12*D11/D12</f>
        <v>42.8</v>
      </c>
      <c r="O11" s="12">
        <f>O12*D11/D12</f>
        <v>17.399999999999999</v>
      </c>
      <c r="P11" s="12">
        <f>P12*D11/D12</f>
        <v>1.08</v>
      </c>
      <c r="Q11" s="136">
        <v>410</v>
      </c>
      <c r="R11" s="136">
        <v>2011</v>
      </c>
      <c r="S11" s="13"/>
    </row>
    <row r="12" spans="1:19" ht="18.95" customHeight="1" x14ac:dyDescent="0.25">
      <c r="A12" s="133"/>
      <c r="B12" s="191"/>
      <c r="C12" s="191"/>
      <c r="D12" s="190">
        <v>75</v>
      </c>
      <c r="E12" s="190">
        <v>4.46</v>
      </c>
      <c r="F12" s="190">
        <v>2.98</v>
      </c>
      <c r="G12" s="190">
        <v>44.12</v>
      </c>
      <c r="H12" s="190">
        <v>222</v>
      </c>
      <c r="I12" s="190">
        <v>0.08</v>
      </c>
      <c r="J12" s="190">
        <v>0.08</v>
      </c>
      <c r="K12" s="190">
        <v>18</v>
      </c>
      <c r="L12" s="190"/>
      <c r="M12" s="190">
        <v>15.6</v>
      </c>
      <c r="N12" s="190">
        <v>42.8</v>
      </c>
      <c r="O12" s="190">
        <v>17.399999999999999</v>
      </c>
      <c r="P12" s="190">
        <v>1.08</v>
      </c>
      <c r="Q12" s="136"/>
      <c r="R12" s="136"/>
      <c r="S12" s="13"/>
    </row>
    <row r="13" spans="1:19" ht="18.95" customHeight="1" x14ac:dyDescent="0.25">
      <c r="A13" s="133" t="s">
        <v>1151</v>
      </c>
      <c r="B13" s="191">
        <v>80</v>
      </c>
      <c r="C13" s="191"/>
      <c r="D13" s="11">
        <f>B13</f>
        <v>80</v>
      </c>
      <c r="E13" s="181">
        <f>E14*D13/D14</f>
        <v>10.244444444444445</v>
      </c>
      <c r="F13" s="181">
        <f>F14*D13/D14</f>
        <v>6.0888888888888895</v>
      </c>
      <c r="G13" s="181">
        <f>G14*D13/D14</f>
        <v>32.422222222222224</v>
      </c>
      <c r="H13" s="181">
        <f>H14*D13/D14</f>
        <v>224.44444444444446</v>
      </c>
      <c r="I13" s="12">
        <f>I14*D13/D14</f>
        <v>8.8888888888888892E-2</v>
      </c>
      <c r="J13" s="12">
        <f>J14*D13/D14</f>
        <v>4.4444444444444446E-2</v>
      </c>
      <c r="K13" s="12">
        <f>K14*D13/D14</f>
        <v>37.777777777777779</v>
      </c>
      <c r="L13" s="12">
        <f>L14*D13/D14</f>
        <v>0</v>
      </c>
      <c r="M13" s="12">
        <f>M14*D13/D14</f>
        <v>56.444444444444443</v>
      </c>
      <c r="N13" s="12">
        <f>N14*D13/D14</f>
        <v>100.22222222222223</v>
      </c>
      <c r="O13" s="12">
        <f>O14*D13/D14</f>
        <v>24</v>
      </c>
      <c r="P13" s="12">
        <f>P14*D13/D14</f>
        <v>1</v>
      </c>
      <c r="Q13" s="136">
        <v>410</v>
      </c>
      <c r="R13" s="136">
        <v>2011</v>
      </c>
      <c r="S13" s="13"/>
    </row>
    <row r="14" spans="1:19" ht="18.95" customHeight="1" x14ac:dyDescent="0.25">
      <c r="A14" s="133"/>
      <c r="B14" s="191"/>
      <c r="C14" s="191"/>
      <c r="D14" s="190">
        <v>36</v>
      </c>
      <c r="E14" s="190">
        <v>4.6100000000000003</v>
      </c>
      <c r="F14" s="190">
        <v>2.74</v>
      </c>
      <c r="G14" s="190">
        <v>14.59</v>
      </c>
      <c r="H14" s="190">
        <v>101</v>
      </c>
      <c r="I14" s="190">
        <v>0.04</v>
      </c>
      <c r="J14" s="190">
        <v>0.02</v>
      </c>
      <c r="K14" s="190">
        <v>17</v>
      </c>
      <c r="L14" s="190"/>
      <c r="M14" s="190">
        <v>25.4</v>
      </c>
      <c r="N14" s="190">
        <v>45.1</v>
      </c>
      <c r="O14" s="190">
        <v>10.8</v>
      </c>
      <c r="P14" s="190">
        <v>0.45</v>
      </c>
      <c r="Q14" s="136"/>
      <c r="R14" s="136"/>
      <c r="S14" s="13"/>
    </row>
    <row r="15" spans="1:19" ht="18.95" customHeight="1" x14ac:dyDescent="0.25">
      <c r="A15" s="133" t="s">
        <v>166</v>
      </c>
      <c r="B15" s="191">
        <v>1000</v>
      </c>
      <c r="C15" s="191"/>
      <c r="D15" s="11">
        <f>B15</f>
        <v>1000</v>
      </c>
      <c r="E15" s="13">
        <f>E16*D15/D16</f>
        <v>61.8</v>
      </c>
      <c r="F15" s="13">
        <f>F16*D15/D16</f>
        <v>32.200000000000003</v>
      </c>
      <c r="G15" s="13">
        <f>G16*D15/D16</f>
        <v>553.20000000000005</v>
      </c>
      <c r="H15" s="13">
        <f>H16*D15/D16</f>
        <v>2750</v>
      </c>
      <c r="I15" s="12">
        <f>I16*D15/D16</f>
        <v>1.1000000000000001</v>
      </c>
      <c r="J15" s="12">
        <f>J16*D15/D16</f>
        <v>0.8</v>
      </c>
      <c r="K15" s="12">
        <f>K16*D15/D16</f>
        <v>170</v>
      </c>
      <c r="L15" s="12">
        <f>L16*D15/D16</f>
        <v>0</v>
      </c>
      <c r="M15" s="12">
        <f>M16*D15/D16</f>
        <v>195</v>
      </c>
      <c r="N15" s="12">
        <f>N16*D15/D16</f>
        <v>614</v>
      </c>
      <c r="O15" s="12">
        <f>O16*D15/D16</f>
        <v>241</v>
      </c>
      <c r="P15" s="12">
        <f>P16*D15/D16</f>
        <v>13.9</v>
      </c>
      <c r="Q15" s="136">
        <v>414</v>
      </c>
      <c r="R15" s="136">
        <v>2011</v>
      </c>
      <c r="S15" s="13"/>
    </row>
    <row r="16" spans="1:19" ht="18.95" customHeight="1" x14ac:dyDescent="0.25">
      <c r="A16" s="133"/>
      <c r="B16" s="191"/>
      <c r="C16" s="191"/>
      <c r="D16" s="190">
        <v>1000</v>
      </c>
      <c r="E16" s="190">
        <v>61.8</v>
      </c>
      <c r="F16" s="190">
        <v>32.200000000000003</v>
      </c>
      <c r="G16" s="190">
        <v>553.20000000000005</v>
      </c>
      <c r="H16" s="190">
        <v>2750</v>
      </c>
      <c r="I16" s="190">
        <v>1.1000000000000001</v>
      </c>
      <c r="J16" s="190">
        <v>0.8</v>
      </c>
      <c r="K16" s="190">
        <v>170</v>
      </c>
      <c r="L16" s="190"/>
      <c r="M16" s="190">
        <v>195</v>
      </c>
      <c r="N16" s="190">
        <v>614</v>
      </c>
      <c r="O16" s="190">
        <v>241</v>
      </c>
      <c r="P16" s="190">
        <v>13.9</v>
      </c>
      <c r="Q16" s="136"/>
      <c r="R16" s="136"/>
      <c r="S16" s="13"/>
    </row>
    <row r="17" spans="1:19" ht="18.95" customHeight="1" x14ac:dyDescent="0.25">
      <c r="A17" s="133" t="s">
        <v>49</v>
      </c>
      <c r="B17" s="191">
        <v>75</v>
      </c>
      <c r="C17" s="191"/>
      <c r="D17" s="11">
        <f>B17</f>
        <v>75</v>
      </c>
      <c r="E17" s="13">
        <f>E18*D17/D18</f>
        <v>4.78</v>
      </c>
      <c r="F17" s="13">
        <f>F18*D17/D18</f>
        <v>8.84</v>
      </c>
      <c r="G17" s="13">
        <f>G18*D17/D18</f>
        <v>38.04</v>
      </c>
      <c r="H17" s="13">
        <f>H18*D17/D18</f>
        <v>250</v>
      </c>
      <c r="I17" s="12">
        <f>I18*D17/D18</f>
        <v>0.08</v>
      </c>
      <c r="J17" s="12">
        <f>J18*D17/D18</f>
        <v>0</v>
      </c>
      <c r="K17" s="12">
        <f>K18*D17/D18</f>
        <v>12</v>
      </c>
      <c r="L17" s="12">
        <f>L18*D17/D18</f>
        <v>0</v>
      </c>
      <c r="M17" s="12">
        <f>M18*D17/D18</f>
        <v>15</v>
      </c>
      <c r="N17" s="12">
        <f>N18*D17/D18</f>
        <v>48</v>
      </c>
      <c r="O17" s="12">
        <f>O18*D17/D18</f>
        <v>17.2</v>
      </c>
      <c r="P17" s="12">
        <f>P18*D17/D18</f>
        <v>0.94</v>
      </c>
      <c r="Q17" s="136">
        <v>418</v>
      </c>
      <c r="R17" s="136">
        <v>2011</v>
      </c>
      <c r="S17" s="30"/>
    </row>
    <row r="18" spans="1:19" ht="18.95" customHeight="1" x14ac:dyDescent="0.25">
      <c r="A18" s="133"/>
      <c r="B18" s="203"/>
      <c r="C18" s="203"/>
      <c r="D18" s="190">
        <v>75</v>
      </c>
      <c r="E18" s="190">
        <v>4.78</v>
      </c>
      <c r="F18" s="190">
        <v>8.84</v>
      </c>
      <c r="G18" s="190">
        <v>38.04</v>
      </c>
      <c r="H18" s="190">
        <v>250</v>
      </c>
      <c r="I18" s="190">
        <v>0.08</v>
      </c>
      <c r="J18" s="190">
        <v>0</v>
      </c>
      <c r="K18" s="190">
        <v>12</v>
      </c>
      <c r="L18" s="190"/>
      <c r="M18" s="190">
        <v>15</v>
      </c>
      <c r="N18" s="190">
        <v>48</v>
      </c>
      <c r="O18" s="190">
        <v>17.2</v>
      </c>
      <c r="P18" s="190">
        <v>0.94</v>
      </c>
      <c r="Q18" s="136"/>
      <c r="R18" s="136"/>
      <c r="S18" s="30"/>
    </row>
    <row r="19" spans="1:19" ht="18.95" customHeight="1" x14ac:dyDescent="0.25">
      <c r="A19" s="133" t="s">
        <v>167</v>
      </c>
      <c r="B19" s="191">
        <v>75</v>
      </c>
      <c r="C19" s="191"/>
      <c r="D19" s="11">
        <f>B19</f>
        <v>75</v>
      </c>
      <c r="E19" s="13">
        <f>E20*D19/D20</f>
        <v>4.96</v>
      </c>
      <c r="F19" s="13">
        <f>F20*D19/D20</f>
        <v>8.14</v>
      </c>
      <c r="G19" s="13">
        <f>G20*D19/D20</f>
        <v>36.24</v>
      </c>
      <c r="H19" s="13">
        <f>H20*D19/D20</f>
        <v>238</v>
      </c>
      <c r="I19" s="12">
        <f>I20*D19/D20</f>
        <v>0.06</v>
      </c>
      <c r="J19" s="12">
        <f>J20*D19/D20</f>
        <v>0.26</v>
      </c>
      <c r="K19" s="12">
        <f>K20*D19/D20</f>
        <v>18</v>
      </c>
      <c r="L19" s="12">
        <f>L20*D19/D20</f>
        <v>0</v>
      </c>
      <c r="M19" s="12">
        <f>M20*D19/D20</f>
        <v>24</v>
      </c>
      <c r="N19" s="12">
        <f>N20*D19/D20</f>
        <v>49.8</v>
      </c>
      <c r="O19" s="12">
        <f>O20*D19/D20</f>
        <v>15.2</v>
      </c>
      <c r="P19" s="12">
        <f>P20*D19/D20</f>
        <v>1.1399999999999999</v>
      </c>
      <c r="Q19" s="136">
        <v>419</v>
      </c>
      <c r="R19" s="136">
        <v>2011</v>
      </c>
      <c r="S19" s="30"/>
    </row>
    <row r="20" spans="1:19" ht="18.95" customHeight="1" x14ac:dyDescent="0.25">
      <c r="A20" s="133"/>
      <c r="B20" s="203"/>
      <c r="C20" s="203"/>
      <c r="D20" s="190">
        <v>75</v>
      </c>
      <c r="E20" s="190">
        <v>4.96</v>
      </c>
      <c r="F20" s="190">
        <v>8.14</v>
      </c>
      <c r="G20" s="190">
        <v>36.24</v>
      </c>
      <c r="H20" s="190">
        <v>238</v>
      </c>
      <c r="I20" s="190">
        <v>0.06</v>
      </c>
      <c r="J20" s="190">
        <v>0.26</v>
      </c>
      <c r="K20" s="190">
        <v>18</v>
      </c>
      <c r="L20" s="190"/>
      <c r="M20" s="190">
        <v>24</v>
      </c>
      <c r="N20" s="190">
        <v>49.8</v>
      </c>
      <c r="O20" s="190">
        <v>15.2</v>
      </c>
      <c r="P20" s="190">
        <v>1.1399999999999999</v>
      </c>
      <c r="Q20" s="136"/>
      <c r="R20" s="136"/>
      <c r="S20" s="30"/>
    </row>
    <row r="21" spans="1:19" ht="18.95" customHeight="1" x14ac:dyDescent="0.25">
      <c r="A21" s="133" t="s">
        <v>50</v>
      </c>
      <c r="B21" s="191">
        <v>75</v>
      </c>
      <c r="C21" s="191"/>
      <c r="D21" s="26">
        <f>B21</f>
        <v>75</v>
      </c>
      <c r="E21" s="13">
        <f>E22*D21/D22</f>
        <v>5.46</v>
      </c>
      <c r="F21" s="13">
        <f>F22*D21/D22</f>
        <v>9.39</v>
      </c>
      <c r="G21" s="13">
        <f>G22*D21/D22</f>
        <v>32.94</v>
      </c>
      <c r="H21" s="13">
        <f>H22*D21/D22</f>
        <v>238.5</v>
      </c>
      <c r="I21" s="12">
        <f>I22*D21/D22</f>
        <v>0.09</v>
      </c>
      <c r="J21" s="12">
        <f>J22*D21/D22</f>
        <v>0</v>
      </c>
      <c r="K21" s="12">
        <f>K22*D21/D22</f>
        <v>3</v>
      </c>
      <c r="L21" s="12">
        <f>L22*D21/D22</f>
        <v>0</v>
      </c>
      <c r="M21" s="12">
        <f>M22*D21/D22</f>
        <v>14.85</v>
      </c>
      <c r="N21" s="12">
        <f>N22*D21/D22</f>
        <v>52.5</v>
      </c>
      <c r="O21" s="12">
        <f>O22*D21/D22</f>
        <v>20.55</v>
      </c>
      <c r="P21" s="12">
        <f>P22*D21/D22</f>
        <v>0.97499999999999998</v>
      </c>
      <c r="Q21" s="136">
        <v>424</v>
      </c>
      <c r="R21" s="136">
        <v>2011</v>
      </c>
      <c r="S21" s="30"/>
    </row>
    <row r="22" spans="1:19" ht="18.95" customHeight="1" x14ac:dyDescent="0.25">
      <c r="A22" s="133"/>
      <c r="B22" s="203"/>
      <c r="C22" s="203"/>
      <c r="D22" s="190">
        <v>100</v>
      </c>
      <c r="E22" s="190">
        <v>7.28</v>
      </c>
      <c r="F22" s="190">
        <v>12.52</v>
      </c>
      <c r="G22" s="190">
        <v>43.92</v>
      </c>
      <c r="H22" s="190">
        <v>318</v>
      </c>
      <c r="I22" s="190">
        <v>0.12</v>
      </c>
      <c r="J22" s="190">
        <v>0</v>
      </c>
      <c r="K22" s="190">
        <v>4</v>
      </c>
      <c r="L22" s="190"/>
      <c r="M22" s="190">
        <v>19.8</v>
      </c>
      <c r="N22" s="190">
        <v>70</v>
      </c>
      <c r="O22" s="190">
        <v>27.4</v>
      </c>
      <c r="P22" s="190">
        <v>1.3</v>
      </c>
      <c r="Q22" s="136"/>
      <c r="R22" s="136"/>
      <c r="S22" s="30"/>
    </row>
    <row r="23" spans="1:19" ht="18.95" customHeight="1" x14ac:dyDescent="0.25">
      <c r="A23" s="133" t="s">
        <v>51</v>
      </c>
      <c r="B23" s="191">
        <v>75</v>
      </c>
      <c r="C23" s="191"/>
      <c r="D23" s="11">
        <f>B23</f>
        <v>75</v>
      </c>
      <c r="E23" s="13">
        <f>E24*D23/D24</f>
        <v>5.085</v>
      </c>
      <c r="F23" s="13">
        <f>F24*D23/D24</f>
        <v>10.47</v>
      </c>
      <c r="G23" s="13">
        <f>G24*D23/D24</f>
        <v>31.605</v>
      </c>
      <c r="H23" s="13">
        <f>H24*D23/D24</f>
        <v>240.75</v>
      </c>
      <c r="I23" s="12">
        <f>I24*D23/D24</f>
        <v>0.09</v>
      </c>
      <c r="J23" s="12">
        <f>J24*D23/D24</f>
        <v>0</v>
      </c>
      <c r="K23" s="12">
        <f>K24*D23/D24</f>
        <v>3</v>
      </c>
      <c r="L23" s="12">
        <f>L24*D23/D24</f>
        <v>0</v>
      </c>
      <c r="M23" s="12">
        <f>M24*D23/D24</f>
        <v>13.95</v>
      </c>
      <c r="N23" s="12">
        <f>N24*D23/D24</f>
        <v>48.15</v>
      </c>
      <c r="O23" s="12">
        <f>O24*D23/D24</f>
        <v>19.649999999999999</v>
      </c>
      <c r="P23" s="12">
        <f>P24*D23/D24</f>
        <v>0.9</v>
      </c>
      <c r="Q23" s="136">
        <v>425</v>
      </c>
      <c r="R23" s="136">
        <v>2011</v>
      </c>
      <c r="S23" s="30"/>
    </row>
    <row r="24" spans="1:19" ht="18.95" customHeight="1" x14ac:dyDescent="0.25">
      <c r="A24" s="178"/>
      <c r="B24" s="203"/>
      <c r="C24" s="203"/>
      <c r="D24" s="190">
        <v>100</v>
      </c>
      <c r="E24" s="190">
        <v>6.78</v>
      </c>
      <c r="F24" s="190">
        <v>13.96</v>
      </c>
      <c r="G24" s="190">
        <v>42.14</v>
      </c>
      <c r="H24" s="190">
        <v>321</v>
      </c>
      <c r="I24" s="190">
        <v>0.12</v>
      </c>
      <c r="J24" s="190">
        <v>0</v>
      </c>
      <c r="K24" s="190">
        <v>4</v>
      </c>
      <c r="L24" s="190"/>
      <c r="M24" s="190">
        <v>18.600000000000001</v>
      </c>
      <c r="N24" s="190">
        <v>64.2</v>
      </c>
      <c r="O24" s="190">
        <v>26.2</v>
      </c>
      <c r="P24" s="190">
        <v>1.2</v>
      </c>
      <c r="Q24" s="136"/>
      <c r="R24" s="136"/>
      <c r="S24" s="30"/>
    </row>
    <row r="25" spans="1:19" ht="18.95" customHeight="1" x14ac:dyDescent="0.25">
      <c r="A25" s="133" t="s">
        <v>168</v>
      </c>
      <c r="B25" s="191">
        <v>75</v>
      </c>
      <c r="C25" s="191"/>
      <c r="D25" s="11">
        <f>B25</f>
        <v>75</v>
      </c>
      <c r="E25" s="13">
        <f>E26*D25/D26</f>
        <v>4.95</v>
      </c>
      <c r="F25" s="13">
        <f>F26*D25/D26</f>
        <v>10.77</v>
      </c>
      <c r="G25" s="13">
        <f>G26*D25/D26</f>
        <v>30.8475</v>
      </c>
      <c r="H25" s="13">
        <f>H26*D25/D26</f>
        <v>240</v>
      </c>
      <c r="I25" s="12">
        <f>I26*D25/D26</f>
        <v>0.12</v>
      </c>
      <c r="J25" s="12">
        <f>J26*D25/D26</f>
        <v>0.03</v>
      </c>
      <c r="K25" s="12">
        <f>K26*D25/D26</f>
        <v>0</v>
      </c>
      <c r="L25" s="12">
        <f>L26*D25/D26</f>
        <v>0</v>
      </c>
      <c r="M25" s="12">
        <f>M26*D25/D26</f>
        <v>15.975</v>
      </c>
      <c r="N25" s="12">
        <f>N26*D25/D26</f>
        <v>57.6</v>
      </c>
      <c r="O25" s="12">
        <f>O26*D25/D26</f>
        <v>21.15</v>
      </c>
      <c r="P25" s="12">
        <f>P26*D25/D26</f>
        <v>1.0424999999999998</v>
      </c>
      <c r="Q25" s="136">
        <v>426</v>
      </c>
      <c r="R25" s="136">
        <v>2011</v>
      </c>
      <c r="S25" s="30"/>
    </row>
    <row r="26" spans="1:19" ht="18.95" customHeight="1" x14ac:dyDescent="0.25">
      <c r="A26" s="178"/>
      <c r="B26" s="203"/>
      <c r="C26" s="203"/>
      <c r="D26" s="190">
        <v>100</v>
      </c>
      <c r="E26" s="190">
        <v>6.6</v>
      </c>
      <c r="F26" s="190">
        <v>14.36</v>
      </c>
      <c r="G26" s="190">
        <v>41.13</v>
      </c>
      <c r="H26" s="190">
        <v>320</v>
      </c>
      <c r="I26" s="190">
        <v>0.16</v>
      </c>
      <c r="J26" s="190">
        <v>0.04</v>
      </c>
      <c r="K26" s="190">
        <v>0</v>
      </c>
      <c r="L26" s="190"/>
      <c r="M26" s="190">
        <v>21.3</v>
      </c>
      <c r="N26" s="190">
        <v>76.8</v>
      </c>
      <c r="O26" s="190">
        <v>28.2</v>
      </c>
      <c r="P26" s="190">
        <v>1.39</v>
      </c>
      <c r="Q26" s="136"/>
      <c r="R26" s="136"/>
      <c r="S26" s="30"/>
    </row>
    <row r="27" spans="1:19" ht="18.95" customHeight="1" x14ac:dyDescent="0.25">
      <c r="A27" s="133" t="s">
        <v>939</v>
      </c>
      <c r="B27" s="191">
        <v>50</v>
      </c>
      <c r="C27" s="191"/>
      <c r="D27" s="11">
        <f>B27</f>
        <v>50</v>
      </c>
      <c r="E27" s="13">
        <f>E28*D27/D28</f>
        <v>3.9</v>
      </c>
      <c r="F27" s="13">
        <f>F28*D27/D28</f>
        <v>3.06</v>
      </c>
      <c r="G27" s="13">
        <f>G28*D27/D28</f>
        <v>23.9</v>
      </c>
      <c r="H27" s="13">
        <f>H28*D27/D28</f>
        <v>139</v>
      </c>
      <c r="I27" s="12">
        <f>I28*D27/D28</f>
        <v>7.0000000000000007E-2</v>
      </c>
      <c r="J27" s="12">
        <f>J28*D27/D28</f>
        <v>0</v>
      </c>
      <c r="K27" s="12">
        <f>K28*D27/D28</f>
        <v>3</v>
      </c>
      <c r="L27" s="12">
        <f>L28*D27/D28</f>
        <v>0</v>
      </c>
      <c r="M27" s="12">
        <f>M28*D27/D28</f>
        <v>11.3</v>
      </c>
      <c r="N27" s="12">
        <f>N28*D27/D28</f>
        <v>39.200000000000003</v>
      </c>
      <c r="O27" s="12">
        <f>O28*D27/D28</f>
        <v>15.2</v>
      </c>
      <c r="P27" s="12">
        <f>P28*D27/D28</f>
        <v>0.73</v>
      </c>
      <c r="Q27" s="136">
        <v>429</v>
      </c>
      <c r="R27" s="136">
        <v>2011</v>
      </c>
      <c r="S27" s="13"/>
    </row>
    <row r="28" spans="1:19" ht="18.95" customHeight="1" x14ac:dyDescent="0.25">
      <c r="A28" s="133"/>
      <c r="B28" s="191"/>
      <c r="C28" s="191"/>
      <c r="D28" s="190">
        <v>50</v>
      </c>
      <c r="E28" s="190">
        <v>3.9</v>
      </c>
      <c r="F28" s="190">
        <v>3.06</v>
      </c>
      <c r="G28" s="190">
        <v>23.9</v>
      </c>
      <c r="H28" s="190">
        <v>139</v>
      </c>
      <c r="I28" s="190">
        <v>7.0000000000000007E-2</v>
      </c>
      <c r="J28" s="190">
        <v>0</v>
      </c>
      <c r="K28" s="190">
        <v>3</v>
      </c>
      <c r="L28" s="190"/>
      <c r="M28" s="190">
        <v>11.3</v>
      </c>
      <c r="N28" s="190">
        <v>39.200000000000003</v>
      </c>
      <c r="O28" s="190">
        <v>15.2</v>
      </c>
      <c r="P28" s="190">
        <v>0.73</v>
      </c>
      <c r="Q28" s="136"/>
      <c r="R28" s="136"/>
      <c r="S28" s="13"/>
    </row>
    <row r="29" spans="1:19" ht="18.95" customHeight="1" x14ac:dyDescent="0.25">
      <c r="A29" s="133" t="s">
        <v>1152</v>
      </c>
      <c r="B29" s="191">
        <v>60</v>
      </c>
      <c r="C29" s="191"/>
      <c r="D29" s="11">
        <f>B29</f>
        <v>60</v>
      </c>
      <c r="E29" s="13">
        <f>E30*D29/D30</f>
        <v>4.8</v>
      </c>
      <c r="F29" s="13">
        <f>F30*D29/D30</f>
        <v>1.68</v>
      </c>
      <c r="G29" s="13">
        <f>G30*D29/D30</f>
        <v>28.16</v>
      </c>
      <c r="H29" s="13">
        <f>H30*D29/D30</f>
        <v>147</v>
      </c>
      <c r="I29" s="12">
        <f>I30*D29/D30</f>
        <v>0.08</v>
      </c>
      <c r="J29" s="12">
        <f>J30*D29/D30</f>
        <v>0.17</v>
      </c>
      <c r="K29" s="12">
        <f>K30*D29/D30</f>
        <v>2</v>
      </c>
      <c r="L29" s="12">
        <f>L30*D29/D30</f>
        <v>0</v>
      </c>
      <c r="M29" s="12">
        <f>M30*D29/D30</f>
        <v>13.9</v>
      </c>
      <c r="N29" s="12">
        <f>N30*D29/D30</f>
        <v>47</v>
      </c>
      <c r="O29" s="12">
        <f>O30*D29/D30</f>
        <v>18.7</v>
      </c>
      <c r="P29" s="12">
        <f>P30*D29/D30</f>
        <v>0.88</v>
      </c>
      <c r="Q29" s="136">
        <v>431</v>
      </c>
      <c r="R29" s="136">
        <v>2011</v>
      </c>
      <c r="S29" s="13"/>
    </row>
    <row r="30" spans="1:19" ht="18.95" customHeight="1" x14ac:dyDescent="0.25">
      <c r="A30" s="133"/>
      <c r="B30" s="203"/>
      <c r="C30" s="203"/>
      <c r="D30" s="190">
        <v>60</v>
      </c>
      <c r="E30" s="190">
        <v>4.8</v>
      </c>
      <c r="F30" s="190">
        <v>1.68</v>
      </c>
      <c r="G30" s="190">
        <v>28.16</v>
      </c>
      <c r="H30" s="190">
        <v>147</v>
      </c>
      <c r="I30" s="190">
        <v>0.08</v>
      </c>
      <c r="J30" s="190">
        <v>0.17</v>
      </c>
      <c r="K30" s="190">
        <v>2</v>
      </c>
      <c r="L30" s="190"/>
      <c r="M30" s="190">
        <v>13.9</v>
      </c>
      <c r="N30" s="190">
        <v>47</v>
      </c>
      <c r="O30" s="190">
        <v>18.7</v>
      </c>
      <c r="P30" s="190">
        <v>0.88</v>
      </c>
      <c r="Q30" s="136"/>
      <c r="R30" s="136"/>
      <c r="S30" s="13"/>
    </row>
    <row r="31" spans="1:19" ht="18.95" customHeight="1" x14ac:dyDescent="0.25">
      <c r="A31" s="133" t="s">
        <v>938</v>
      </c>
      <c r="B31" s="191">
        <v>100</v>
      </c>
      <c r="C31" s="191"/>
      <c r="D31" s="11">
        <f>B31</f>
        <v>100</v>
      </c>
      <c r="E31" s="13">
        <f>E32*D31/D32</f>
        <v>9.2799999999999994</v>
      </c>
      <c r="F31" s="13">
        <f>F32*D31/D32</f>
        <v>1.98</v>
      </c>
      <c r="G31" s="13">
        <f>G32*D31/D32</f>
        <v>46.9</v>
      </c>
      <c r="H31" s="13">
        <f>H32*D31/D32</f>
        <v>242</v>
      </c>
      <c r="I31" s="12">
        <f>I32*D31/D32</f>
        <v>0.16</v>
      </c>
      <c r="J31" s="12">
        <f>J32*D31/D32</f>
        <v>0.26</v>
      </c>
      <c r="K31" s="12">
        <f>K32*D31/D32</f>
        <v>6</v>
      </c>
      <c r="L31" s="12">
        <f>L32*D31/D32</f>
        <v>0</v>
      </c>
      <c r="M31" s="12">
        <f>M32*D31/D32</f>
        <v>60.4</v>
      </c>
      <c r="N31" s="12">
        <f>N32*D31/D32</f>
        <v>103.4</v>
      </c>
      <c r="O31" s="12">
        <f>O32*D31/D32</f>
        <v>36.6</v>
      </c>
      <c r="P31" s="12">
        <f>P32*D31/D32</f>
        <v>1.46</v>
      </c>
      <c r="Q31" s="136">
        <v>434</v>
      </c>
      <c r="R31" s="136">
        <v>2011</v>
      </c>
      <c r="S31" s="30"/>
    </row>
    <row r="32" spans="1:19" ht="18.95" customHeight="1" x14ac:dyDescent="0.25">
      <c r="A32" s="179"/>
      <c r="B32" s="203"/>
      <c r="C32" s="203"/>
      <c r="D32" s="190">
        <v>50</v>
      </c>
      <c r="E32" s="190">
        <v>4.6399999999999997</v>
      </c>
      <c r="F32" s="190">
        <v>0.99</v>
      </c>
      <c r="G32" s="190">
        <v>23.45</v>
      </c>
      <c r="H32" s="190">
        <v>121</v>
      </c>
      <c r="I32" s="190">
        <v>0.08</v>
      </c>
      <c r="J32" s="190">
        <v>0.13</v>
      </c>
      <c r="K32" s="190">
        <v>3</v>
      </c>
      <c r="L32" s="190"/>
      <c r="M32" s="190">
        <v>30.2</v>
      </c>
      <c r="N32" s="190">
        <v>51.7</v>
      </c>
      <c r="O32" s="190">
        <v>18.3</v>
      </c>
      <c r="P32" s="190">
        <v>0.73</v>
      </c>
      <c r="Q32" s="136"/>
      <c r="R32" s="204"/>
      <c r="S32" s="30"/>
    </row>
    <row r="33" spans="1:19" ht="18.95" customHeight="1" x14ac:dyDescent="0.25">
      <c r="A33" s="133" t="s">
        <v>169</v>
      </c>
      <c r="B33" s="191">
        <v>75</v>
      </c>
      <c r="C33" s="191"/>
      <c r="D33" s="11">
        <f>B33</f>
        <v>75</v>
      </c>
      <c r="E33" s="13">
        <f>E34*D33/D34</f>
        <v>4.57</v>
      </c>
      <c r="F33" s="13">
        <f>F34*D33/D34</f>
        <v>13.84</v>
      </c>
      <c r="G33" s="13">
        <f>G34*D33/D34</f>
        <v>43.06</v>
      </c>
      <c r="H33" s="13">
        <f>H34*D33/D34</f>
        <v>315</v>
      </c>
      <c r="I33" s="12">
        <f>I34*D33/D34</f>
        <v>7.0000000000000007E-2</v>
      </c>
      <c r="J33" s="12">
        <f>J34*D33/D34</f>
        <v>0</v>
      </c>
      <c r="K33" s="12">
        <f>K34*D33/D34</f>
        <v>89</v>
      </c>
      <c r="L33" s="12">
        <f>L34*D33/D34</f>
        <v>0</v>
      </c>
      <c r="M33" s="12">
        <f>M34*D33/D34</f>
        <v>27.5</v>
      </c>
      <c r="N33" s="12">
        <f>N34*D33/D34</f>
        <v>63.8</v>
      </c>
      <c r="O33" s="12">
        <f>O34*D33/D34</f>
        <v>17</v>
      </c>
      <c r="P33" s="12">
        <f>P34*D33/D34</f>
        <v>1.2</v>
      </c>
      <c r="Q33" s="136">
        <v>446</v>
      </c>
      <c r="R33" s="136">
        <v>2011</v>
      </c>
      <c r="S33" s="30"/>
    </row>
    <row r="34" spans="1:19" ht="18.95" customHeight="1" x14ac:dyDescent="0.25">
      <c r="A34" s="179"/>
      <c r="B34" s="203"/>
      <c r="C34" s="203"/>
      <c r="D34" s="190">
        <v>75</v>
      </c>
      <c r="E34" s="190">
        <v>4.57</v>
      </c>
      <c r="F34" s="190">
        <v>13.84</v>
      </c>
      <c r="G34" s="190">
        <v>43.06</v>
      </c>
      <c r="H34" s="190">
        <v>315</v>
      </c>
      <c r="I34" s="190">
        <v>7.0000000000000007E-2</v>
      </c>
      <c r="J34" s="190">
        <v>0</v>
      </c>
      <c r="K34" s="190">
        <v>89</v>
      </c>
      <c r="L34" s="190"/>
      <c r="M34" s="190">
        <v>27.5</v>
      </c>
      <c r="N34" s="190">
        <v>63.8</v>
      </c>
      <c r="O34" s="190">
        <v>17</v>
      </c>
      <c r="P34" s="190">
        <v>1.2</v>
      </c>
      <c r="Q34" s="136"/>
      <c r="R34" s="204"/>
      <c r="S34" s="30"/>
    </row>
    <row r="35" spans="1:19" s="23" customFormat="1" ht="18.95" customHeight="1" x14ac:dyDescent="0.25">
      <c r="A35" s="133" t="s">
        <v>170</v>
      </c>
      <c r="B35" s="191">
        <v>50</v>
      </c>
      <c r="C35" s="191"/>
      <c r="D35" s="11">
        <f>B35</f>
        <v>50</v>
      </c>
      <c r="E35" s="13">
        <f>E36*D35/D36</f>
        <v>4.71</v>
      </c>
      <c r="F35" s="13">
        <f>F36*D35/D36</f>
        <v>7.42</v>
      </c>
      <c r="G35" s="13">
        <f>G36*D35/D36</f>
        <v>25.58</v>
      </c>
      <c r="H35" s="13">
        <f>H36*D35/D36</f>
        <v>188</v>
      </c>
      <c r="I35" s="12">
        <f>I36*D35/D36</f>
        <v>0.03</v>
      </c>
      <c r="J35" s="12">
        <f>J36*D35/D36</f>
        <v>0.03</v>
      </c>
      <c r="K35" s="12">
        <f>K36*D35/D36</f>
        <v>49</v>
      </c>
      <c r="L35" s="12">
        <f>L36*D35/D36</f>
        <v>0</v>
      </c>
      <c r="M35" s="12">
        <f>M36*D35/D36</f>
        <v>26.7</v>
      </c>
      <c r="N35" s="12">
        <f>N36*D35/D36</f>
        <v>49.2</v>
      </c>
      <c r="O35" s="12">
        <f>O36*D35/D36</f>
        <v>9.1</v>
      </c>
      <c r="P35" s="12">
        <f>P36*D35/D36</f>
        <v>0.51</v>
      </c>
      <c r="Q35" s="136">
        <v>447</v>
      </c>
      <c r="R35" s="136">
        <v>2011</v>
      </c>
      <c r="S35" s="30"/>
    </row>
    <row r="36" spans="1:19" s="23" customFormat="1" ht="18.95" customHeight="1" x14ac:dyDescent="0.25">
      <c r="A36" s="133"/>
      <c r="B36" s="203"/>
      <c r="C36" s="203"/>
      <c r="D36" s="190">
        <v>50</v>
      </c>
      <c r="E36" s="190">
        <v>4.71</v>
      </c>
      <c r="F36" s="190">
        <v>7.42</v>
      </c>
      <c r="G36" s="190">
        <v>25.58</v>
      </c>
      <c r="H36" s="190">
        <v>188</v>
      </c>
      <c r="I36" s="190">
        <v>0.03</v>
      </c>
      <c r="J36" s="190">
        <v>0.03</v>
      </c>
      <c r="K36" s="190">
        <v>49</v>
      </c>
      <c r="L36" s="190"/>
      <c r="M36" s="190">
        <v>26.7</v>
      </c>
      <c r="N36" s="190">
        <v>49.2</v>
      </c>
      <c r="O36" s="190">
        <v>9.1</v>
      </c>
      <c r="P36" s="190">
        <v>0.51</v>
      </c>
      <c r="Q36" s="136"/>
      <c r="R36" s="136"/>
      <c r="S36" s="30"/>
    </row>
    <row r="37" spans="1:19" s="23" customFormat="1" ht="18.95" customHeight="1" x14ac:dyDescent="0.25">
      <c r="A37" s="133" t="s">
        <v>1004</v>
      </c>
      <c r="B37" s="191">
        <v>50</v>
      </c>
      <c r="C37" s="191"/>
      <c r="D37" s="11">
        <f>B37</f>
        <v>50</v>
      </c>
      <c r="E37" s="13">
        <f>E38*D37/D38</f>
        <v>4.24</v>
      </c>
      <c r="F37" s="13">
        <f>F38*D37/D38</f>
        <v>8.7100000000000009</v>
      </c>
      <c r="G37" s="13">
        <f>G38*D37/D38</f>
        <v>29.39</v>
      </c>
      <c r="H37" s="13">
        <f>H38*D37/D38</f>
        <v>213</v>
      </c>
      <c r="I37" s="12">
        <f>I38*D37/D38</f>
        <v>7.0000000000000007E-2</v>
      </c>
      <c r="J37" s="12">
        <f>J38*D37/D38</f>
        <v>7.0000000000000007E-2</v>
      </c>
      <c r="K37" s="12">
        <f>K38*D37/D38</f>
        <v>18</v>
      </c>
      <c r="L37" s="12">
        <f>L38*D37/D38</f>
        <v>0</v>
      </c>
      <c r="M37" s="12">
        <f>M38*D37/D38</f>
        <v>18.600000000000001</v>
      </c>
      <c r="N37" s="12">
        <f>N38*D37/D38</f>
        <v>52.1</v>
      </c>
      <c r="O37" s="12">
        <f>O38*D37/D38</f>
        <v>17.100000000000001</v>
      </c>
      <c r="P37" s="12">
        <f>P38*D37/D38</f>
        <v>0.91</v>
      </c>
      <c r="Q37" s="136">
        <v>450</v>
      </c>
      <c r="R37" s="136">
        <v>2011</v>
      </c>
      <c r="S37" s="30"/>
    </row>
    <row r="38" spans="1:19" s="23" customFormat="1" ht="18.95" customHeight="1" x14ac:dyDescent="0.25">
      <c r="A38" s="133"/>
      <c r="B38" s="203"/>
      <c r="C38" s="203"/>
      <c r="D38" s="190">
        <v>50</v>
      </c>
      <c r="E38" s="190">
        <v>4.24</v>
      </c>
      <c r="F38" s="190">
        <v>8.7100000000000009</v>
      </c>
      <c r="G38" s="190">
        <v>29.39</v>
      </c>
      <c r="H38" s="190">
        <v>213</v>
      </c>
      <c r="I38" s="190">
        <v>7.0000000000000007E-2</v>
      </c>
      <c r="J38" s="190">
        <v>7.0000000000000007E-2</v>
      </c>
      <c r="K38" s="190">
        <v>18</v>
      </c>
      <c r="L38" s="190"/>
      <c r="M38" s="190">
        <v>18.600000000000001</v>
      </c>
      <c r="N38" s="190">
        <v>52.1</v>
      </c>
      <c r="O38" s="190">
        <v>17.100000000000001</v>
      </c>
      <c r="P38" s="190">
        <v>0.91</v>
      </c>
      <c r="Q38" s="136"/>
      <c r="R38" s="136"/>
      <c r="S38" s="30"/>
    </row>
    <row r="39" spans="1:19" s="23" customFormat="1" ht="18.95" customHeight="1" x14ac:dyDescent="0.25">
      <c r="A39" s="133" t="s">
        <v>937</v>
      </c>
      <c r="B39" s="191">
        <v>75</v>
      </c>
      <c r="C39" s="191"/>
      <c r="D39" s="11">
        <f>B39</f>
        <v>75</v>
      </c>
      <c r="E39" s="13">
        <f>E40*D39/D40</f>
        <v>4.8899999999999997</v>
      </c>
      <c r="F39" s="13">
        <f>F40*D39/D40</f>
        <v>8.43</v>
      </c>
      <c r="G39" s="13">
        <f>G40*D39/D40</f>
        <v>47.68</v>
      </c>
      <c r="H39" s="13">
        <f>H40*D39/D40</f>
        <v>286</v>
      </c>
      <c r="I39" s="12">
        <f>I40*D39/D40</f>
        <v>0.08</v>
      </c>
      <c r="J39" s="12">
        <f>J40*D39/D40</f>
        <v>0.05</v>
      </c>
      <c r="K39" s="12">
        <f>K40*D39/D40</f>
        <v>8</v>
      </c>
      <c r="L39" s="12">
        <f>L40*D39/D40</f>
        <v>0</v>
      </c>
      <c r="M39" s="12">
        <f>M40*D39/D40</f>
        <v>19.2</v>
      </c>
      <c r="N39" s="12">
        <f>N40*D39/D40</f>
        <v>48.5</v>
      </c>
      <c r="O39" s="12">
        <f>O40*D39/D40</f>
        <v>17.8</v>
      </c>
      <c r="P39" s="12">
        <f>P40*D39/D40</f>
        <v>0.85</v>
      </c>
      <c r="Q39" s="136">
        <v>456</v>
      </c>
      <c r="R39" s="136">
        <v>2011</v>
      </c>
      <c r="S39" s="30"/>
    </row>
    <row r="40" spans="1:19" s="23" customFormat="1" ht="18.95" customHeight="1" x14ac:dyDescent="0.25">
      <c r="A40" s="133"/>
      <c r="B40" s="203"/>
      <c r="C40" s="203"/>
      <c r="D40" s="190">
        <v>75</v>
      </c>
      <c r="E40" s="190">
        <v>4.8899999999999997</v>
      </c>
      <c r="F40" s="190">
        <v>8.43</v>
      </c>
      <c r="G40" s="190">
        <v>47.68</v>
      </c>
      <c r="H40" s="190">
        <v>286</v>
      </c>
      <c r="I40" s="190">
        <v>0.08</v>
      </c>
      <c r="J40" s="190">
        <v>0.05</v>
      </c>
      <c r="K40" s="190">
        <v>8</v>
      </c>
      <c r="L40" s="190"/>
      <c r="M40" s="190">
        <v>19.2</v>
      </c>
      <c r="N40" s="190">
        <v>48.5</v>
      </c>
      <c r="O40" s="190">
        <v>17.8</v>
      </c>
      <c r="P40" s="190">
        <v>0.85</v>
      </c>
      <c r="Q40" s="136"/>
      <c r="R40" s="136"/>
      <c r="S40" s="30"/>
    </row>
    <row r="41" spans="1:19" s="23" customFormat="1" ht="18.95" customHeight="1" x14ac:dyDescent="0.25">
      <c r="A41" s="133" t="s">
        <v>52</v>
      </c>
      <c r="B41" s="191">
        <v>50</v>
      </c>
      <c r="C41" s="191"/>
      <c r="D41" s="11">
        <f>B41</f>
        <v>50</v>
      </c>
      <c r="E41" s="13">
        <f>E42*D41/D42</f>
        <v>3.95</v>
      </c>
      <c r="F41" s="13">
        <f>F42*D41/D42</f>
        <v>0.5</v>
      </c>
      <c r="G41" s="13">
        <f>G42*D41/D42</f>
        <v>24.15</v>
      </c>
      <c r="H41" s="13">
        <f>H42*D41/D42</f>
        <v>116.9</v>
      </c>
      <c r="I41" s="12">
        <f>I42*D41/D42</f>
        <v>0.05</v>
      </c>
      <c r="J41" s="12">
        <f>J42*D41/D42</f>
        <v>0</v>
      </c>
      <c r="K41" s="12">
        <f>K42*D41/D42</f>
        <v>0</v>
      </c>
      <c r="L41" s="12">
        <f>L42*D41/D42</f>
        <v>0.65</v>
      </c>
      <c r="M41" s="12">
        <f>M42*D41/D42</f>
        <v>11.5</v>
      </c>
      <c r="N41" s="12">
        <f>N42*D41/D42</f>
        <v>43.5</v>
      </c>
      <c r="O41" s="12">
        <f>O42*D41/D42</f>
        <v>16.5</v>
      </c>
      <c r="P41" s="12">
        <f>P42*D41/D42</f>
        <v>0.55000000000000004</v>
      </c>
      <c r="Q41" s="136" t="s">
        <v>31</v>
      </c>
      <c r="R41" s="136"/>
      <c r="S41" s="13"/>
    </row>
    <row r="42" spans="1:19" s="23" customFormat="1" ht="18.95" customHeight="1" x14ac:dyDescent="0.25">
      <c r="A42" s="133"/>
      <c r="B42" s="191"/>
      <c r="C42" s="191"/>
      <c r="D42" s="190">
        <v>50</v>
      </c>
      <c r="E42" s="190">
        <v>3.95</v>
      </c>
      <c r="F42" s="190">
        <v>0.5</v>
      </c>
      <c r="G42" s="190">
        <v>24.15</v>
      </c>
      <c r="H42" s="190">
        <v>116.9</v>
      </c>
      <c r="I42" s="190">
        <v>0.05</v>
      </c>
      <c r="J42" s="190">
        <v>0</v>
      </c>
      <c r="K42" s="190">
        <v>0</v>
      </c>
      <c r="L42" s="190">
        <v>0.65</v>
      </c>
      <c r="M42" s="190">
        <v>11.5</v>
      </c>
      <c r="N42" s="190">
        <v>43.5</v>
      </c>
      <c r="O42" s="190">
        <v>16.5</v>
      </c>
      <c r="P42" s="190">
        <v>0.55000000000000004</v>
      </c>
      <c r="Q42" s="136"/>
      <c r="R42" s="136"/>
      <c r="S42" s="13"/>
    </row>
    <row r="43" spans="1:19" s="23" customFormat="1" ht="18.95" customHeight="1" x14ac:dyDescent="0.25">
      <c r="A43" s="133" t="s">
        <v>52</v>
      </c>
      <c r="B43" s="191">
        <v>30</v>
      </c>
      <c r="C43" s="191"/>
      <c r="D43" s="11">
        <f>B43</f>
        <v>30</v>
      </c>
      <c r="E43" s="13">
        <f>E44*D43/D44</f>
        <v>2.37</v>
      </c>
      <c r="F43" s="13">
        <f>F44*D43/D44</f>
        <v>0.3</v>
      </c>
      <c r="G43" s="13">
        <f>G44*D43/D44</f>
        <v>14.49</v>
      </c>
      <c r="H43" s="13">
        <f>H44*D43/D44</f>
        <v>70.14</v>
      </c>
      <c r="I43" s="12">
        <f>I44*D43/D44</f>
        <v>0.03</v>
      </c>
      <c r="J43" s="12">
        <f>J44*D43/D44</f>
        <v>0</v>
      </c>
      <c r="K43" s="12">
        <f>K44*D43/D44</f>
        <v>0</v>
      </c>
      <c r="L43" s="12">
        <f>L44*D43/D44</f>
        <v>0.39</v>
      </c>
      <c r="M43" s="12">
        <f>M44*D43/D44</f>
        <v>6.9</v>
      </c>
      <c r="N43" s="12">
        <f>N44*D43/D44</f>
        <v>26.1</v>
      </c>
      <c r="O43" s="12">
        <f>O44*D43/D44</f>
        <v>9.9</v>
      </c>
      <c r="P43" s="12">
        <f>P44*D43/D44</f>
        <v>0.33</v>
      </c>
      <c r="Q43" s="136" t="s">
        <v>31</v>
      </c>
      <c r="R43" s="136"/>
      <c r="S43" s="13"/>
    </row>
    <row r="44" spans="1:19" s="23" customFormat="1" ht="18.95" customHeight="1" x14ac:dyDescent="0.25">
      <c r="A44" s="133"/>
      <c r="B44" s="191"/>
      <c r="C44" s="191"/>
      <c r="D44" s="190">
        <v>50</v>
      </c>
      <c r="E44" s="190">
        <v>3.95</v>
      </c>
      <c r="F44" s="190">
        <v>0.5</v>
      </c>
      <c r="G44" s="190">
        <v>24.15</v>
      </c>
      <c r="H44" s="190">
        <v>116.9</v>
      </c>
      <c r="I44" s="190">
        <v>0.05</v>
      </c>
      <c r="J44" s="190">
        <v>0</v>
      </c>
      <c r="K44" s="190">
        <v>0</v>
      </c>
      <c r="L44" s="190">
        <v>0.65</v>
      </c>
      <c r="M44" s="190">
        <v>11.5</v>
      </c>
      <c r="N44" s="190">
        <v>43.5</v>
      </c>
      <c r="O44" s="190">
        <v>16.5</v>
      </c>
      <c r="P44" s="190">
        <v>0.55000000000000004</v>
      </c>
      <c r="Q44" s="136"/>
      <c r="R44" s="136"/>
      <c r="S44" s="13"/>
    </row>
    <row r="45" spans="1:19" s="23" customFormat="1" ht="18.95" customHeight="1" x14ac:dyDescent="0.25">
      <c r="A45" s="133" t="s">
        <v>53</v>
      </c>
      <c r="B45" s="191">
        <v>20</v>
      </c>
      <c r="C45" s="191"/>
      <c r="D45" s="11">
        <f>B45</f>
        <v>20</v>
      </c>
      <c r="E45" s="13">
        <f>E46*D45/D46</f>
        <v>1.1200000000000001</v>
      </c>
      <c r="F45" s="13">
        <f>F46*D45/D46</f>
        <v>0.22</v>
      </c>
      <c r="G45" s="13">
        <f>G46*D45/D46</f>
        <v>9.8800000000000008</v>
      </c>
      <c r="H45" s="13">
        <f>H46*D45/D46</f>
        <v>45.98</v>
      </c>
      <c r="I45" s="12">
        <f>I46*D45/D46</f>
        <v>0.02</v>
      </c>
      <c r="J45" s="12">
        <f>J46*D45/D46</f>
        <v>0</v>
      </c>
      <c r="K45" s="12">
        <f>K46*D45/D46</f>
        <v>0</v>
      </c>
      <c r="L45" s="12">
        <f>L46*D45/D46</f>
        <v>0.18</v>
      </c>
      <c r="M45" s="12">
        <f>M46*D45/D46</f>
        <v>4.5999999999999996</v>
      </c>
      <c r="N45" s="12">
        <f>N46*D45/D46</f>
        <v>21.2</v>
      </c>
      <c r="O45" s="12">
        <f>O46*D45/D46</f>
        <v>5</v>
      </c>
      <c r="P45" s="12">
        <f>P46*D45/D46</f>
        <v>0.62</v>
      </c>
      <c r="Q45" s="136" t="s">
        <v>31</v>
      </c>
      <c r="R45" s="136"/>
      <c r="S45" s="13"/>
    </row>
    <row r="46" spans="1:19" s="23" customFormat="1" ht="18.95" customHeight="1" x14ac:dyDescent="0.25">
      <c r="A46" s="133"/>
      <c r="B46" s="191"/>
      <c r="C46" s="191"/>
      <c r="D46" s="190">
        <v>50</v>
      </c>
      <c r="E46" s="190">
        <v>2.8</v>
      </c>
      <c r="F46" s="190">
        <v>0.55000000000000004</v>
      </c>
      <c r="G46" s="190">
        <v>24.7</v>
      </c>
      <c r="H46" s="190">
        <v>114.95</v>
      </c>
      <c r="I46" s="190">
        <v>0.05</v>
      </c>
      <c r="J46" s="190">
        <v>0</v>
      </c>
      <c r="K46" s="190">
        <v>0</v>
      </c>
      <c r="L46" s="190">
        <v>0.45</v>
      </c>
      <c r="M46" s="190">
        <v>11.5</v>
      </c>
      <c r="N46" s="190">
        <v>53</v>
      </c>
      <c r="O46" s="190">
        <v>12.5</v>
      </c>
      <c r="P46" s="190">
        <v>1.55</v>
      </c>
      <c r="Q46" s="136"/>
      <c r="R46" s="136"/>
      <c r="S46" s="13"/>
    </row>
    <row r="47" spans="1:19" s="23" customFormat="1" ht="18.95" customHeight="1" x14ac:dyDescent="0.25">
      <c r="A47" s="133" t="s">
        <v>1026</v>
      </c>
      <c r="B47" s="191">
        <v>20</v>
      </c>
      <c r="C47" s="191"/>
      <c r="D47" s="11">
        <f>B47</f>
        <v>20</v>
      </c>
      <c r="E47" s="13">
        <f>E48*D47/D48</f>
        <v>1.1200000000000001</v>
      </c>
      <c r="F47" s="13">
        <f>F48*D47/D48</f>
        <v>0.22</v>
      </c>
      <c r="G47" s="13">
        <f>G48*D47/D48</f>
        <v>9.8800000000000008</v>
      </c>
      <c r="H47" s="13">
        <f>H48*D47/D48</f>
        <v>45.98</v>
      </c>
      <c r="I47" s="12">
        <f>I48*D47/D48</f>
        <v>0.02</v>
      </c>
      <c r="J47" s="12">
        <f>J48*D47/D48</f>
        <v>0</v>
      </c>
      <c r="K47" s="12">
        <f>K48*D47/D48</f>
        <v>0</v>
      </c>
      <c r="L47" s="12">
        <f>L48*D47/D48</f>
        <v>0.18</v>
      </c>
      <c r="M47" s="12">
        <f>M48*D47/D48</f>
        <v>4.5999999999999996</v>
      </c>
      <c r="N47" s="12">
        <f>N48*D47/D48</f>
        <v>21.2</v>
      </c>
      <c r="O47" s="12">
        <f>O48*D47/D48</f>
        <v>5</v>
      </c>
      <c r="P47" s="12">
        <f>P48*D47/D48</f>
        <v>0.62</v>
      </c>
      <c r="Q47" s="136" t="s">
        <v>31</v>
      </c>
      <c r="R47" s="136"/>
      <c r="S47" s="13"/>
    </row>
    <row r="48" spans="1:19" s="23" customFormat="1" ht="18.95" customHeight="1" x14ac:dyDescent="0.25">
      <c r="A48" s="133"/>
      <c r="B48" s="191"/>
      <c r="C48" s="191"/>
      <c r="D48" s="190">
        <v>50</v>
      </c>
      <c r="E48" s="190">
        <v>2.8</v>
      </c>
      <c r="F48" s="190">
        <v>0.55000000000000004</v>
      </c>
      <c r="G48" s="190">
        <v>24.7</v>
      </c>
      <c r="H48" s="190">
        <v>114.95</v>
      </c>
      <c r="I48" s="190">
        <v>0.05</v>
      </c>
      <c r="J48" s="190">
        <v>0</v>
      </c>
      <c r="K48" s="190">
        <v>0</v>
      </c>
      <c r="L48" s="190">
        <v>0.45</v>
      </c>
      <c r="M48" s="190">
        <v>11.5</v>
      </c>
      <c r="N48" s="190">
        <v>53</v>
      </c>
      <c r="O48" s="190">
        <v>12.5</v>
      </c>
      <c r="P48" s="190">
        <v>1.55</v>
      </c>
      <c r="Q48" s="136"/>
      <c r="R48" s="136"/>
      <c r="S48" s="13"/>
    </row>
    <row r="49" spans="1:19" s="23" customFormat="1" ht="18.95" customHeight="1" x14ac:dyDescent="0.25">
      <c r="A49" s="133" t="s">
        <v>54</v>
      </c>
      <c r="B49" s="191">
        <v>20</v>
      </c>
      <c r="C49" s="191"/>
      <c r="D49" s="11">
        <f>B49</f>
        <v>20</v>
      </c>
      <c r="E49" s="13">
        <f>E50*D49/D50</f>
        <v>0.13</v>
      </c>
      <c r="F49" s="13">
        <f>F50*D49/D50</f>
        <v>0</v>
      </c>
      <c r="G49" s="13">
        <f>G50*D49/D50</f>
        <v>16</v>
      </c>
      <c r="H49" s="13">
        <f>H50*D49/D50</f>
        <v>64.510000000000005</v>
      </c>
      <c r="I49" s="12">
        <f>I50*D49/D50</f>
        <v>0</v>
      </c>
      <c r="J49" s="12">
        <f>J50*D49/D50</f>
        <v>0</v>
      </c>
      <c r="K49" s="12">
        <f>K50*D49/D50</f>
        <v>0</v>
      </c>
      <c r="L49" s="12">
        <f>L50*D49/D50</f>
        <v>0</v>
      </c>
      <c r="M49" s="12">
        <f>M50*D49/D50</f>
        <v>5.36</v>
      </c>
      <c r="N49" s="12">
        <f>N50*D49/D50</f>
        <v>2.64</v>
      </c>
      <c r="O49" s="12">
        <f>O50*D49/D50</f>
        <v>1.36</v>
      </c>
      <c r="P49" s="12">
        <f>P50*D49/D50</f>
        <v>0.24</v>
      </c>
      <c r="Q49" s="136" t="s">
        <v>31</v>
      </c>
      <c r="R49" s="136"/>
      <c r="S49" s="13"/>
    </row>
    <row r="50" spans="1:19" s="23" customFormat="1" ht="18.95" customHeight="1" x14ac:dyDescent="0.25">
      <c r="A50" s="133"/>
      <c r="B50" s="191"/>
      <c r="C50" s="191"/>
      <c r="D50" s="190">
        <v>20</v>
      </c>
      <c r="E50" s="190">
        <v>0.13</v>
      </c>
      <c r="F50" s="190"/>
      <c r="G50" s="190">
        <v>16</v>
      </c>
      <c r="H50" s="190">
        <v>64.510000000000005</v>
      </c>
      <c r="I50" s="190">
        <v>0</v>
      </c>
      <c r="J50" s="190">
        <v>0</v>
      </c>
      <c r="K50" s="190">
        <v>0</v>
      </c>
      <c r="L50" s="190"/>
      <c r="M50" s="190">
        <v>5.36</v>
      </c>
      <c r="N50" s="190">
        <v>2.64</v>
      </c>
      <c r="O50" s="190">
        <v>1.36</v>
      </c>
      <c r="P50" s="190">
        <v>0.24</v>
      </c>
      <c r="Q50" s="136"/>
      <c r="R50" s="136"/>
      <c r="S50" s="13"/>
    </row>
    <row r="51" spans="1:19" s="23" customFormat="1" ht="18.95" customHeight="1" x14ac:dyDescent="0.25">
      <c r="A51" s="133" t="s">
        <v>1153</v>
      </c>
      <c r="B51" s="191">
        <v>20</v>
      </c>
      <c r="C51" s="191"/>
      <c r="D51" s="11">
        <f>B51</f>
        <v>20</v>
      </c>
      <c r="E51" s="13">
        <f>E52*D51/D52</f>
        <v>1.7</v>
      </c>
      <c r="F51" s="13">
        <f>F52*D51/D52</f>
        <v>2.2599999999999998</v>
      </c>
      <c r="G51" s="13">
        <v>73</v>
      </c>
      <c r="H51" s="13">
        <v>79</v>
      </c>
      <c r="I51" s="12">
        <f>I52*D51/D52</f>
        <v>0.02</v>
      </c>
      <c r="J51" s="12">
        <f>J52*D51/D52</f>
        <v>0</v>
      </c>
      <c r="K51" s="12">
        <f>K52*D51/D52</f>
        <v>13</v>
      </c>
      <c r="L51" s="12">
        <f>L52*D51/D52</f>
        <v>0.26</v>
      </c>
      <c r="M51" s="12">
        <f>M52*D51/D52</f>
        <v>8.1999999999999993</v>
      </c>
      <c r="N51" s="12">
        <f>N52*D51/D52</f>
        <v>17.399999999999999</v>
      </c>
      <c r="O51" s="12">
        <f>O52*D51/D52</f>
        <v>3</v>
      </c>
      <c r="P51" s="12">
        <f>P52*D51/D52</f>
        <v>0.2</v>
      </c>
      <c r="Q51" s="136" t="s">
        <v>31</v>
      </c>
      <c r="R51" s="136"/>
      <c r="S51" s="13"/>
    </row>
    <row r="52" spans="1:19" s="23" customFormat="1" ht="18.95" customHeight="1" x14ac:dyDescent="0.25">
      <c r="A52" s="133"/>
      <c r="B52" s="191"/>
      <c r="C52" s="191"/>
      <c r="D52" s="190">
        <v>20</v>
      </c>
      <c r="E52" s="190">
        <v>1.7</v>
      </c>
      <c r="F52" s="190">
        <v>2.2599999999999998</v>
      </c>
      <c r="G52" s="190">
        <v>13.94</v>
      </c>
      <c r="H52" s="190">
        <v>82.9</v>
      </c>
      <c r="I52" s="190">
        <v>0.02</v>
      </c>
      <c r="J52" s="190">
        <v>0</v>
      </c>
      <c r="K52" s="190">
        <v>13</v>
      </c>
      <c r="L52" s="190">
        <v>0.26</v>
      </c>
      <c r="M52" s="190">
        <v>8.1999999999999993</v>
      </c>
      <c r="N52" s="190">
        <v>17.399999999999999</v>
      </c>
      <c r="O52" s="190">
        <v>3</v>
      </c>
      <c r="P52" s="190">
        <v>0.2</v>
      </c>
      <c r="Q52" s="136"/>
      <c r="R52" s="136"/>
      <c r="S52" s="13"/>
    </row>
  </sheetData>
  <mergeCells count="8">
    <mergeCell ref="A1:S1"/>
    <mergeCell ref="Q2:S2"/>
    <mergeCell ref="A2:A3"/>
    <mergeCell ref="B2:C2"/>
    <mergeCell ref="D2:D3"/>
    <mergeCell ref="E2:H2"/>
    <mergeCell ref="I2:L2"/>
    <mergeCell ref="M2:P2"/>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3"/>
  <sheetViews>
    <sheetView workbookViewId="0">
      <selection sqref="A1:B1"/>
    </sheetView>
  </sheetViews>
  <sheetFormatPr defaultRowHeight="12.75" x14ac:dyDescent="0.25"/>
  <cols>
    <col min="1" max="41" width="10.7109375" style="125" customWidth="1"/>
    <col min="42" max="16384" width="9.140625" style="125"/>
  </cols>
  <sheetData>
    <row r="1" spans="1:40" x14ac:dyDescent="0.25">
      <c r="A1" s="454" t="s">
        <v>214</v>
      </c>
      <c r="B1" s="454"/>
      <c r="F1" s="454" t="s">
        <v>215</v>
      </c>
      <c r="G1" s="454"/>
      <c r="H1" s="454"/>
      <c r="I1" s="454" t="s">
        <v>214</v>
      </c>
      <c r="J1" s="454"/>
      <c r="N1" s="454" t="s">
        <v>215</v>
      </c>
      <c r="O1" s="454"/>
      <c r="P1" s="454"/>
      <c r="Q1" s="454" t="s">
        <v>214</v>
      </c>
      <c r="R1" s="454"/>
      <c r="V1" s="454" t="s">
        <v>215</v>
      </c>
      <c r="W1" s="454"/>
      <c r="X1" s="454"/>
      <c r="Y1" s="454" t="s">
        <v>214</v>
      </c>
      <c r="Z1" s="454"/>
      <c r="AD1" s="454" t="s">
        <v>215</v>
      </c>
      <c r="AE1" s="454"/>
      <c r="AF1" s="454"/>
      <c r="AG1" s="454" t="s">
        <v>214</v>
      </c>
      <c r="AH1" s="454"/>
      <c r="AL1" s="454" t="s">
        <v>215</v>
      </c>
      <c r="AM1" s="454"/>
      <c r="AN1" s="454"/>
    </row>
    <row r="2" spans="1:40" x14ac:dyDescent="0.25">
      <c r="E2" s="454" t="s">
        <v>216</v>
      </c>
      <c r="F2" s="454"/>
      <c r="G2" s="454"/>
      <c r="H2" s="454"/>
      <c r="M2" s="454" t="s">
        <v>216</v>
      </c>
      <c r="N2" s="454"/>
      <c r="O2" s="454"/>
      <c r="P2" s="454"/>
      <c r="U2" s="454" t="s">
        <v>216</v>
      </c>
      <c r="V2" s="454"/>
      <c r="W2" s="454"/>
      <c r="X2" s="454"/>
      <c r="AC2" s="454" t="s">
        <v>216</v>
      </c>
      <c r="AD2" s="454"/>
      <c r="AE2" s="454"/>
      <c r="AF2" s="454"/>
      <c r="AK2" s="454" t="s">
        <v>216</v>
      </c>
      <c r="AL2" s="454"/>
      <c r="AM2" s="454"/>
      <c r="AN2" s="454"/>
    </row>
    <row r="3" spans="1:40" x14ac:dyDescent="0.25">
      <c r="E3" s="161"/>
      <c r="F3" s="161"/>
      <c r="G3" s="161"/>
      <c r="H3" s="161"/>
      <c r="M3" s="161"/>
      <c r="N3" s="161"/>
      <c r="O3" s="161"/>
      <c r="P3" s="161"/>
      <c r="U3" s="161"/>
      <c r="V3" s="161"/>
      <c r="W3" s="161"/>
      <c r="X3" s="161"/>
      <c r="AC3" s="161"/>
      <c r="AD3" s="161"/>
      <c r="AE3" s="161"/>
      <c r="AF3" s="161"/>
      <c r="AK3" s="161"/>
      <c r="AL3" s="161"/>
      <c r="AM3" s="161"/>
      <c r="AN3" s="161"/>
    </row>
    <row r="4" spans="1:40" ht="18.95" customHeight="1" x14ac:dyDescent="0.25">
      <c r="A4" s="414" t="s">
        <v>692</v>
      </c>
      <c r="B4" s="414"/>
      <c r="C4" s="414"/>
      <c r="D4" s="414"/>
      <c r="E4" s="414"/>
      <c r="F4" s="414"/>
      <c r="G4" s="414"/>
      <c r="H4" s="414"/>
      <c r="I4" s="414" t="s">
        <v>707</v>
      </c>
      <c r="J4" s="414"/>
      <c r="K4" s="414"/>
      <c r="L4" s="414"/>
      <c r="M4" s="414"/>
      <c r="N4" s="414"/>
      <c r="O4" s="414"/>
      <c r="P4" s="414"/>
      <c r="Q4" s="414" t="s">
        <v>716</v>
      </c>
      <c r="R4" s="414"/>
      <c r="S4" s="414"/>
      <c r="T4" s="414"/>
      <c r="U4" s="414"/>
      <c r="V4" s="414"/>
      <c r="W4" s="414"/>
      <c r="X4" s="414"/>
      <c r="Y4" s="414" t="s">
        <v>729</v>
      </c>
      <c r="Z4" s="414"/>
      <c r="AA4" s="414"/>
      <c r="AB4" s="414"/>
      <c r="AC4" s="414"/>
      <c r="AD4" s="414"/>
      <c r="AE4" s="414"/>
      <c r="AF4" s="414"/>
      <c r="AG4" s="414" t="s">
        <v>730</v>
      </c>
      <c r="AH4" s="414"/>
      <c r="AI4" s="414"/>
      <c r="AJ4" s="414"/>
      <c r="AK4" s="414"/>
      <c r="AL4" s="414"/>
      <c r="AM4" s="414"/>
      <c r="AN4" s="414"/>
    </row>
    <row r="5" spans="1:40" ht="18.95" customHeight="1" x14ac:dyDescent="0.25">
      <c r="A5" s="473" t="s">
        <v>696</v>
      </c>
      <c r="B5" s="465"/>
      <c r="C5" s="465"/>
      <c r="D5" s="465"/>
      <c r="E5" s="465"/>
      <c r="F5" s="465"/>
      <c r="G5" s="465"/>
      <c r="H5" s="465"/>
      <c r="I5" s="473" t="s">
        <v>708</v>
      </c>
      <c r="J5" s="465"/>
      <c r="K5" s="465"/>
      <c r="L5" s="465"/>
      <c r="M5" s="465"/>
      <c r="N5" s="465"/>
      <c r="O5" s="465"/>
      <c r="P5" s="465"/>
      <c r="Q5" s="473" t="s">
        <v>715</v>
      </c>
      <c r="R5" s="465"/>
      <c r="S5" s="465"/>
      <c r="T5" s="465"/>
      <c r="U5" s="465"/>
      <c r="V5" s="465"/>
      <c r="W5" s="465"/>
      <c r="X5" s="465"/>
      <c r="Y5" s="473" t="s">
        <v>731</v>
      </c>
      <c r="Z5" s="465"/>
      <c r="AA5" s="465"/>
      <c r="AB5" s="465"/>
      <c r="AC5" s="465"/>
      <c r="AD5" s="465"/>
      <c r="AE5" s="465"/>
      <c r="AF5" s="465"/>
      <c r="AG5" s="473" t="s">
        <v>732</v>
      </c>
      <c r="AH5" s="465"/>
      <c r="AI5" s="465"/>
      <c r="AJ5" s="465"/>
      <c r="AK5" s="465"/>
      <c r="AL5" s="465"/>
      <c r="AM5" s="465"/>
      <c r="AN5" s="465"/>
    </row>
    <row r="6" spans="1:40" ht="18.95" customHeight="1" x14ac:dyDescent="0.25">
      <c r="A6" s="473" t="s">
        <v>693</v>
      </c>
      <c r="B6" s="473"/>
      <c r="C6" s="473"/>
      <c r="D6" s="473"/>
      <c r="E6" s="473"/>
      <c r="F6" s="473"/>
      <c r="G6" s="473"/>
      <c r="H6" s="473"/>
      <c r="I6" s="473" t="s">
        <v>694</v>
      </c>
      <c r="J6" s="473"/>
      <c r="K6" s="473"/>
      <c r="L6" s="473"/>
      <c r="M6" s="473"/>
      <c r="N6" s="473"/>
      <c r="O6" s="473"/>
      <c r="P6" s="473"/>
      <c r="Q6" s="473" t="s">
        <v>695</v>
      </c>
      <c r="R6" s="473"/>
      <c r="S6" s="473"/>
      <c r="T6" s="473"/>
      <c r="U6" s="473"/>
      <c r="V6" s="473"/>
      <c r="W6" s="473"/>
      <c r="X6" s="473"/>
      <c r="Y6" s="473" t="s">
        <v>727</v>
      </c>
      <c r="Z6" s="473"/>
      <c r="AA6" s="473"/>
      <c r="AB6" s="473"/>
      <c r="AC6" s="473"/>
      <c r="AD6" s="473"/>
      <c r="AE6" s="473"/>
      <c r="AF6" s="473"/>
      <c r="AG6" s="473" t="s">
        <v>728</v>
      </c>
      <c r="AH6" s="473"/>
      <c r="AI6" s="473"/>
      <c r="AJ6" s="473"/>
      <c r="AK6" s="473"/>
      <c r="AL6" s="473"/>
      <c r="AM6" s="473"/>
      <c r="AN6" s="473"/>
    </row>
    <row r="7" spans="1:40" ht="18.95" customHeight="1" x14ac:dyDescent="0.25">
      <c r="A7" s="465" t="s">
        <v>189</v>
      </c>
      <c r="B7" s="465"/>
      <c r="C7" s="465"/>
      <c r="D7" s="465"/>
      <c r="E7" s="465"/>
      <c r="F7" s="465"/>
      <c r="G7" s="465"/>
      <c r="H7" s="465"/>
      <c r="I7" s="465" t="s">
        <v>189</v>
      </c>
      <c r="J7" s="465"/>
      <c r="K7" s="465"/>
      <c r="L7" s="465"/>
      <c r="M7" s="465"/>
      <c r="N7" s="465"/>
      <c r="O7" s="465"/>
      <c r="P7" s="465"/>
      <c r="Q7" s="465" t="s">
        <v>189</v>
      </c>
      <c r="R7" s="465"/>
      <c r="S7" s="465"/>
      <c r="T7" s="465"/>
      <c r="U7" s="465"/>
      <c r="V7" s="465"/>
      <c r="W7" s="465"/>
      <c r="X7" s="465"/>
      <c r="Y7" s="465" t="s">
        <v>189</v>
      </c>
      <c r="Z7" s="465"/>
      <c r="AA7" s="465"/>
      <c r="AB7" s="465"/>
      <c r="AC7" s="465"/>
      <c r="AD7" s="465"/>
      <c r="AE7" s="465"/>
      <c r="AF7" s="465"/>
      <c r="AG7" s="465" t="s">
        <v>189</v>
      </c>
      <c r="AH7" s="465"/>
      <c r="AI7" s="465"/>
      <c r="AJ7" s="465"/>
      <c r="AK7" s="465"/>
      <c r="AL7" s="465"/>
      <c r="AM7" s="465"/>
      <c r="AN7" s="465"/>
    </row>
    <row r="8" spans="1:40" ht="18.95" customHeight="1" x14ac:dyDescent="0.25">
      <c r="A8" s="465" t="s">
        <v>190</v>
      </c>
      <c r="B8" s="465"/>
      <c r="C8" s="465"/>
      <c r="D8" s="465"/>
      <c r="E8" s="465"/>
      <c r="F8" s="465"/>
      <c r="G8" s="465"/>
      <c r="H8" s="465"/>
      <c r="I8" s="465" t="s">
        <v>190</v>
      </c>
      <c r="J8" s="465"/>
      <c r="K8" s="465"/>
      <c r="L8" s="465"/>
      <c r="M8" s="465"/>
      <c r="N8" s="465"/>
      <c r="O8" s="465"/>
      <c r="P8" s="465"/>
      <c r="Q8" s="465" t="s">
        <v>190</v>
      </c>
      <c r="R8" s="465"/>
      <c r="S8" s="465"/>
      <c r="T8" s="465"/>
      <c r="U8" s="465"/>
      <c r="V8" s="465"/>
      <c r="W8" s="465"/>
      <c r="X8" s="465"/>
      <c r="Y8" s="465" t="s">
        <v>190</v>
      </c>
      <c r="Z8" s="465"/>
      <c r="AA8" s="465"/>
      <c r="AB8" s="465"/>
      <c r="AC8" s="465"/>
      <c r="AD8" s="465"/>
      <c r="AE8" s="465"/>
      <c r="AF8" s="465"/>
      <c r="AG8" s="465" t="s">
        <v>190</v>
      </c>
      <c r="AH8" s="465"/>
      <c r="AI8" s="465"/>
      <c r="AJ8" s="465"/>
      <c r="AK8" s="465"/>
      <c r="AL8" s="465"/>
      <c r="AM8" s="465"/>
      <c r="AN8" s="465"/>
    </row>
    <row r="9" spans="1:40" ht="18.95" customHeight="1" x14ac:dyDescent="0.25">
      <c r="C9" s="159"/>
      <c r="K9" s="159"/>
      <c r="S9" s="159"/>
      <c r="AA9" s="159"/>
      <c r="AI9" s="159"/>
    </row>
    <row r="10" spans="1:40" ht="18.95" customHeight="1" x14ac:dyDescent="0.25">
      <c r="B10" s="466" t="s">
        <v>174</v>
      </c>
      <c r="C10" s="467"/>
      <c r="D10" s="412" t="s">
        <v>179</v>
      </c>
      <c r="E10" s="412"/>
      <c r="F10" s="412"/>
      <c r="G10" s="412"/>
      <c r="J10" s="466" t="s">
        <v>174</v>
      </c>
      <c r="K10" s="467"/>
      <c r="L10" s="412" t="s">
        <v>179</v>
      </c>
      <c r="M10" s="412"/>
      <c r="N10" s="412"/>
      <c r="O10" s="412"/>
      <c r="R10" s="466" t="s">
        <v>174</v>
      </c>
      <c r="S10" s="467"/>
      <c r="T10" s="412" t="s">
        <v>179</v>
      </c>
      <c r="U10" s="412"/>
      <c r="V10" s="412"/>
      <c r="W10" s="412"/>
      <c r="Z10" s="466" t="s">
        <v>174</v>
      </c>
      <c r="AA10" s="467"/>
      <c r="AB10" s="412" t="s">
        <v>179</v>
      </c>
      <c r="AC10" s="412"/>
      <c r="AD10" s="412"/>
      <c r="AE10" s="412"/>
      <c r="AH10" s="466" t="s">
        <v>174</v>
      </c>
      <c r="AI10" s="467"/>
      <c r="AJ10" s="412" t="s">
        <v>179</v>
      </c>
      <c r="AK10" s="412"/>
      <c r="AL10" s="412"/>
      <c r="AM10" s="412"/>
    </row>
    <row r="11" spans="1:40" ht="18.95" customHeight="1" x14ac:dyDescent="0.25">
      <c r="B11" s="468"/>
      <c r="C11" s="469"/>
      <c r="D11" s="412" t="s">
        <v>177</v>
      </c>
      <c r="E11" s="412"/>
      <c r="F11" s="412" t="s">
        <v>178</v>
      </c>
      <c r="G11" s="412"/>
      <c r="J11" s="468"/>
      <c r="K11" s="469"/>
      <c r="L11" s="412" t="s">
        <v>177</v>
      </c>
      <c r="M11" s="412"/>
      <c r="N11" s="412" t="s">
        <v>178</v>
      </c>
      <c r="O11" s="412"/>
      <c r="R11" s="468"/>
      <c r="S11" s="469"/>
      <c r="T11" s="412" t="s">
        <v>177</v>
      </c>
      <c r="U11" s="412"/>
      <c r="V11" s="412" t="s">
        <v>178</v>
      </c>
      <c r="W11" s="412"/>
      <c r="Z11" s="468"/>
      <c r="AA11" s="469"/>
      <c r="AB11" s="412" t="s">
        <v>177</v>
      </c>
      <c r="AC11" s="412"/>
      <c r="AD11" s="412" t="s">
        <v>178</v>
      </c>
      <c r="AE11" s="412"/>
      <c r="AH11" s="468"/>
      <c r="AI11" s="469"/>
      <c r="AJ11" s="412" t="s">
        <v>177</v>
      </c>
      <c r="AK11" s="412"/>
      <c r="AL11" s="412" t="s">
        <v>178</v>
      </c>
      <c r="AM11" s="412"/>
    </row>
    <row r="12" spans="1:40" ht="18.95" customHeight="1" x14ac:dyDescent="0.25">
      <c r="B12" s="470"/>
      <c r="C12" s="471"/>
      <c r="D12" s="158" t="s">
        <v>175</v>
      </c>
      <c r="E12" s="158" t="s">
        <v>176</v>
      </c>
      <c r="F12" s="158" t="s">
        <v>175</v>
      </c>
      <c r="G12" s="158" t="s">
        <v>176</v>
      </c>
      <c r="J12" s="470"/>
      <c r="K12" s="471"/>
      <c r="L12" s="158" t="s">
        <v>175</v>
      </c>
      <c r="M12" s="158" t="s">
        <v>176</v>
      </c>
      <c r="N12" s="158" t="s">
        <v>175</v>
      </c>
      <c r="O12" s="158" t="s">
        <v>176</v>
      </c>
      <c r="R12" s="470"/>
      <c r="S12" s="471"/>
      <c r="T12" s="158" t="s">
        <v>175</v>
      </c>
      <c r="U12" s="158" t="s">
        <v>176</v>
      </c>
      <c r="V12" s="158" t="s">
        <v>175</v>
      </c>
      <c r="W12" s="158" t="s">
        <v>176</v>
      </c>
      <c r="Z12" s="470"/>
      <c r="AA12" s="471"/>
      <c r="AB12" s="158" t="s">
        <v>175</v>
      </c>
      <c r="AC12" s="158" t="s">
        <v>176</v>
      </c>
      <c r="AD12" s="158" t="s">
        <v>175</v>
      </c>
      <c r="AE12" s="158" t="s">
        <v>176</v>
      </c>
      <c r="AH12" s="470"/>
      <c r="AI12" s="471"/>
      <c r="AJ12" s="158" t="s">
        <v>175</v>
      </c>
      <c r="AK12" s="158" t="s">
        <v>176</v>
      </c>
      <c r="AL12" s="158" t="s">
        <v>175</v>
      </c>
      <c r="AM12" s="158" t="s">
        <v>176</v>
      </c>
    </row>
    <row r="13" spans="1:40" ht="18.95" customHeight="1" x14ac:dyDescent="0.25">
      <c r="B13" s="455" t="s">
        <v>697</v>
      </c>
      <c r="C13" s="456"/>
      <c r="D13" s="106"/>
      <c r="E13" s="106">
        <v>58</v>
      </c>
      <c r="F13" s="106"/>
      <c r="G13" s="106">
        <v>5800</v>
      </c>
      <c r="J13" s="536" t="s">
        <v>697</v>
      </c>
      <c r="K13" s="537"/>
      <c r="L13" s="106"/>
      <c r="M13" s="106">
        <v>58</v>
      </c>
      <c r="N13" s="106"/>
      <c r="O13" s="106">
        <v>5800</v>
      </c>
      <c r="R13" s="455" t="s">
        <v>410</v>
      </c>
      <c r="S13" s="456"/>
      <c r="T13" s="106"/>
      <c r="U13" s="106"/>
      <c r="V13" s="106">
        <v>546</v>
      </c>
      <c r="W13" s="106">
        <v>546</v>
      </c>
      <c r="Z13" s="463" t="s">
        <v>733</v>
      </c>
      <c r="AA13" s="464"/>
      <c r="AB13" s="106">
        <v>39.5</v>
      </c>
      <c r="AC13" s="106">
        <v>39.5</v>
      </c>
      <c r="AD13" s="106">
        <v>3950</v>
      </c>
      <c r="AE13" s="106">
        <v>3950</v>
      </c>
      <c r="AH13" s="463" t="s">
        <v>733</v>
      </c>
      <c r="AI13" s="464"/>
      <c r="AJ13" s="106">
        <v>26</v>
      </c>
      <c r="AK13" s="106">
        <v>26</v>
      </c>
      <c r="AL13" s="106">
        <v>2600</v>
      </c>
      <c r="AM13" s="106">
        <v>2600</v>
      </c>
    </row>
    <row r="14" spans="1:40" ht="18.95" customHeight="1" x14ac:dyDescent="0.25">
      <c r="B14" s="455" t="s">
        <v>698</v>
      </c>
      <c r="C14" s="456"/>
      <c r="D14" s="106">
        <v>17.399999999999999</v>
      </c>
      <c r="E14" s="106">
        <v>17.399999999999999</v>
      </c>
      <c r="F14" s="106">
        <v>174</v>
      </c>
      <c r="G14" s="106">
        <v>174</v>
      </c>
      <c r="J14" s="536" t="s">
        <v>698</v>
      </c>
      <c r="K14" s="537"/>
      <c r="L14" s="106">
        <v>1.74</v>
      </c>
      <c r="M14" s="106">
        <v>1.74</v>
      </c>
      <c r="N14" s="106">
        <v>174</v>
      </c>
      <c r="O14" s="106">
        <v>174</v>
      </c>
      <c r="R14" s="455" t="s">
        <v>297</v>
      </c>
      <c r="S14" s="456"/>
      <c r="T14" s="106"/>
      <c r="U14" s="106"/>
      <c r="V14" s="106">
        <v>33</v>
      </c>
      <c r="W14" s="106">
        <v>33</v>
      </c>
      <c r="Z14" s="455" t="s">
        <v>297</v>
      </c>
      <c r="AA14" s="456"/>
      <c r="AB14" s="106">
        <v>7.9</v>
      </c>
      <c r="AC14" s="106">
        <v>7.9</v>
      </c>
      <c r="AD14" s="106">
        <v>790</v>
      </c>
      <c r="AE14" s="106">
        <v>790</v>
      </c>
      <c r="AH14" s="463" t="s">
        <v>740</v>
      </c>
      <c r="AI14" s="464"/>
      <c r="AJ14" s="106">
        <v>2.06</v>
      </c>
      <c r="AK14" s="106">
        <v>2.06</v>
      </c>
      <c r="AL14" s="106">
        <v>206</v>
      </c>
      <c r="AM14" s="106">
        <v>206</v>
      </c>
    </row>
    <row r="15" spans="1:40" ht="18.95" customHeight="1" x14ac:dyDescent="0.25">
      <c r="B15" s="488" t="s">
        <v>699</v>
      </c>
      <c r="C15" s="489"/>
      <c r="D15" s="106"/>
      <c r="E15" s="106">
        <v>25</v>
      </c>
      <c r="F15" s="106"/>
      <c r="G15" s="106">
        <v>2500</v>
      </c>
      <c r="J15" s="536" t="s">
        <v>709</v>
      </c>
      <c r="K15" s="537"/>
      <c r="L15" s="106"/>
      <c r="M15" s="106">
        <v>30</v>
      </c>
      <c r="N15" s="106"/>
      <c r="O15" s="106">
        <v>3000</v>
      </c>
      <c r="R15" s="455" t="s">
        <v>191</v>
      </c>
      <c r="S15" s="456"/>
      <c r="T15" s="106"/>
      <c r="U15" s="106"/>
      <c r="V15" s="106">
        <v>27</v>
      </c>
      <c r="W15" s="106">
        <v>27</v>
      </c>
      <c r="Z15" s="455" t="s">
        <v>734</v>
      </c>
      <c r="AA15" s="456"/>
      <c r="AB15" s="106">
        <v>9.8000000000000007</v>
      </c>
      <c r="AC15" s="106">
        <v>9.58</v>
      </c>
      <c r="AD15" s="106">
        <v>980</v>
      </c>
      <c r="AE15" s="106">
        <v>980</v>
      </c>
      <c r="AH15" s="455" t="s">
        <v>741</v>
      </c>
      <c r="AI15" s="456"/>
      <c r="AJ15" s="106" t="s">
        <v>747</v>
      </c>
      <c r="AK15" s="106">
        <v>10.31</v>
      </c>
      <c r="AL15" s="106">
        <v>1031</v>
      </c>
      <c r="AM15" s="106">
        <v>1031</v>
      </c>
    </row>
    <row r="16" spans="1:40" ht="18.95" customHeight="1" x14ac:dyDescent="0.25">
      <c r="B16" s="455" t="s">
        <v>700</v>
      </c>
      <c r="C16" s="456"/>
      <c r="D16" s="106">
        <v>25.25</v>
      </c>
      <c r="E16" s="106">
        <v>25</v>
      </c>
      <c r="F16" s="106">
        <v>2525</v>
      </c>
      <c r="G16" s="106">
        <v>2500</v>
      </c>
      <c r="J16" s="536" t="s">
        <v>710</v>
      </c>
      <c r="K16" s="537"/>
      <c r="L16" s="106">
        <v>30.3</v>
      </c>
      <c r="M16" s="106">
        <v>30</v>
      </c>
      <c r="N16" s="106">
        <v>3030</v>
      </c>
      <c r="O16" s="106">
        <v>3000</v>
      </c>
      <c r="R16" s="455" t="s">
        <v>717</v>
      </c>
      <c r="S16" s="456"/>
      <c r="T16" s="106"/>
      <c r="U16" s="106"/>
      <c r="V16" s="106" t="s">
        <v>724</v>
      </c>
      <c r="W16" s="106">
        <v>27</v>
      </c>
      <c r="Z16" s="455" t="s">
        <v>717</v>
      </c>
      <c r="AA16" s="456"/>
      <c r="AB16" s="106" t="s">
        <v>746</v>
      </c>
      <c r="AC16" s="106">
        <v>4.9000000000000004</v>
      </c>
      <c r="AD16" s="106" t="s">
        <v>737</v>
      </c>
      <c r="AE16" s="106">
        <v>490</v>
      </c>
      <c r="AH16" s="455" t="s">
        <v>742</v>
      </c>
      <c r="AI16" s="456"/>
      <c r="AJ16" s="106">
        <v>8</v>
      </c>
      <c r="AK16" s="106">
        <v>8</v>
      </c>
      <c r="AL16" s="106">
        <v>800</v>
      </c>
      <c r="AM16" s="106">
        <v>800</v>
      </c>
    </row>
    <row r="17" spans="1:40" ht="18.95" customHeight="1" x14ac:dyDescent="0.25">
      <c r="B17" s="455" t="s">
        <v>701</v>
      </c>
      <c r="C17" s="456"/>
      <c r="D17" s="106">
        <v>0.25</v>
      </c>
      <c r="E17" s="106">
        <v>0.25</v>
      </c>
      <c r="F17" s="106">
        <v>25</v>
      </c>
      <c r="G17" s="106">
        <v>25</v>
      </c>
      <c r="J17" s="538" t="s">
        <v>711</v>
      </c>
      <c r="K17" s="539"/>
      <c r="L17" s="106">
        <v>1.5</v>
      </c>
      <c r="M17" s="106">
        <v>1.5</v>
      </c>
      <c r="N17" s="106">
        <v>150</v>
      </c>
      <c r="O17" s="106">
        <v>150</v>
      </c>
      <c r="R17" s="455" t="s">
        <v>718</v>
      </c>
      <c r="S17" s="456"/>
      <c r="T17" s="106"/>
      <c r="U17" s="106"/>
      <c r="V17" s="106">
        <v>16</v>
      </c>
      <c r="W17" s="106">
        <v>16</v>
      </c>
      <c r="Z17" s="455" t="s">
        <v>476</v>
      </c>
      <c r="AA17" s="456"/>
      <c r="AB17" s="106">
        <v>0.5</v>
      </c>
      <c r="AC17" s="106">
        <v>0.5</v>
      </c>
      <c r="AD17" s="106">
        <v>50</v>
      </c>
      <c r="AE17" s="106">
        <v>50</v>
      </c>
      <c r="AH17" s="484" t="s">
        <v>743</v>
      </c>
      <c r="AI17" s="485"/>
      <c r="AJ17" s="106">
        <v>4.5999999999999996</v>
      </c>
      <c r="AK17" s="106">
        <v>4.5999999999999996</v>
      </c>
      <c r="AL17" s="106">
        <v>460</v>
      </c>
      <c r="AM17" s="106">
        <v>460</v>
      </c>
    </row>
    <row r="18" spans="1:40" ht="18.95" customHeight="1" x14ac:dyDescent="0.25">
      <c r="B18" s="540" t="s">
        <v>702</v>
      </c>
      <c r="C18" s="541"/>
      <c r="D18" s="106">
        <v>1.5</v>
      </c>
      <c r="E18" s="106">
        <v>1.5</v>
      </c>
      <c r="F18" s="106">
        <v>150</v>
      </c>
      <c r="G18" s="106">
        <v>150</v>
      </c>
      <c r="J18" s="536" t="s">
        <v>701</v>
      </c>
      <c r="K18" s="537"/>
      <c r="L18" s="106">
        <v>0.25</v>
      </c>
      <c r="M18" s="106">
        <v>0.25</v>
      </c>
      <c r="N18" s="106">
        <v>25</v>
      </c>
      <c r="O18" s="106">
        <v>25</v>
      </c>
      <c r="R18" s="455" t="s">
        <v>476</v>
      </c>
      <c r="S18" s="456"/>
      <c r="T18" s="106"/>
      <c r="U18" s="106"/>
      <c r="V18" s="106">
        <v>5</v>
      </c>
      <c r="W18" s="106">
        <v>5</v>
      </c>
      <c r="Z18" s="455" t="s">
        <v>735</v>
      </c>
      <c r="AA18" s="456"/>
      <c r="AB18" s="106">
        <v>1.2</v>
      </c>
      <c r="AC18" s="106">
        <v>1.2</v>
      </c>
      <c r="AD18" s="106">
        <v>120</v>
      </c>
      <c r="AE18" s="106">
        <v>120</v>
      </c>
      <c r="AH18" s="488"/>
      <c r="AI18" s="489"/>
      <c r="AJ18" s="106"/>
      <c r="AK18" s="106"/>
      <c r="AL18" s="106"/>
      <c r="AM18" s="106"/>
    </row>
    <row r="19" spans="1:40" ht="18.95" customHeight="1" x14ac:dyDescent="0.25">
      <c r="B19" s="457" t="s">
        <v>180</v>
      </c>
      <c r="C19" s="458"/>
      <c r="D19" s="118"/>
      <c r="E19" s="106">
        <v>75</v>
      </c>
      <c r="F19" s="106"/>
      <c r="G19" s="182" t="s">
        <v>738</v>
      </c>
      <c r="J19" s="457" t="s">
        <v>180</v>
      </c>
      <c r="K19" s="458"/>
      <c r="L19" s="118"/>
      <c r="M19" s="106">
        <v>75</v>
      </c>
      <c r="N19" s="106"/>
      <c r="O19" s="182" t="s">
        <v>738</v>
      </c>
      <c r="R19" s="455" t="s">
        <v>719</v>
      </c>
      <c r="S19" s="456"/>
      <c r="T19" s="106"/>
      <c r="U19" s="106"/>
      <c r="V19" s="106">
        <v>230</v>
      </c>
      <c r="W19" s="106">
        <v>230</v>
      </c>
      <c r="Z19" s="455" t="s">
        <v>670</v>
      </c>
      <c r="AA19" s="456"/>
      <c r="AB19" s="106">
        <v>14</v>
      </c>
      <c r="AC19" s="106">
        <v>14</v>
      </c>
      <c r="AD19" s="106">
        <v>1400</v>
      </c>
      <c r="AE19" s="106">
        <v>1400</v>
      </c>
      <c r="AH19" s="455" t="s">
        <v>745</v>
      </c>
      <c r="AI19" s="456"/>
      <c r="AJ19" s="106">
        <v>2.5999999999999999E-2</v>
      </c>
      <c r="AK19" s="106">
        <v>2.5999999999999999E-2</v>
      </c>
      <c r="AL19" s="106">
        <v>2.6</v>
      </c>
      <c r="AM19" s="106">
        <v>2.6</v>
      </c>
    </row>
    <row r="20" spans="1:40" ht="18.95" customHeight="1" x14ac:dyDescent="0.25">
      <c r="R20" s="455" t="s">
        <v>720</v>
      </c>
      <c r="S20" s="456"/>
      <c r="T20" s="106"/>
      <c r="U20" s="106"/>
      <c r="V20" s="106"/>
      <c r="W20" s="106">
        <v>860</v>
      </c>
      <c r="Z20" s="455" t="s">
        <v>720</v>
      </c>
      <c r="AA20" s="456"/>
      <c r="AB20" s="106"/>
      <c r="AC20" s="106">
        <v>76</v>
      </c>
      <c r="AD20" s="106"/>
      <c r="AE20" s="106">
        <v>7600</v>
      </c>
      <c r="AH20" s="455" t="s">
        <v>476</v>
      </c>
      <c r="AI20" s="456"/>
      <c r="AJ20" s="106">
        <v>0.1</v>
      </c>
      <c r="AK20" s="106">
        <v>0.1</v>
      </c>
      <c r="AL20" s="106">
        <v>10</v>
      </c>
      <c r="AM20" s="106">
        <v>10</v>
      </c>
    </row>
    <row r="21" spans="1:40" ht="18.95" customHeight="1" x14ac:dyDescent="0.25">
      <c r="A21" s="459" t="s">
        <v>703</v>
      </c>
      <c r="B21" s="459"/>
      <c r="C21" s="459"/>
      <c r="D21" s="459"/>
      <c r="E21" s="459"/>
      <c r="F21" s="459"/>
      <c r="G21" s="459"/>
      <c r="H21" s="459"/>
      <c r="I21" s="459" t="s">
        <v>712</v>
      </c>
      <c r="J21" s="459"/>
      <c r="K21" s="459"/>
      <c r="L21" s="459"/>
      <c r="M21" s="459"/>
      <c r="N21" s="459"/>
      <c r="O21" s="459"/>
      <c r="P21" s="459"/>
      <c r="R21" s="455" t="s">
        <v>721</v>
      </c>
      <c r="S21" s="456"/>
      <c r="T21" s="106"/>
      <c r="U21" s="106"/>
      <c r="V21" s="106">
        <v>333</v>
      </c>
      <c r="W21" s="106">
        <v>300</v>
      </c>
      <c r="Z21" s="455" t="s">
        <v>736</v>
      </c>
      <c r="AA21" s="456"/>
      <c r="AB21" s="106">
        <v>9.85</v>
      </c>
      <c r="AC21" s="106">
        <v>9.75</v>
      </c>
      <c r="AD21" s="106">
        <v>985</v>
      </c>
      <c r="AE21" s="106">
        <v>975</v>
      </c>
      <c r="AH21" s="455" t="s">
        <v>720</v>
      </c>
      <c r="AI21" s="456"/>
      <c r="AJ21" s="106"/>
      <c r="AK21" s="106">
        <v>58</v>
      </c>
      <c r="AL21" s="106"/>
      <c r="AM21" s="106">
        <v>5800</v>
      </c>
    </row>
    <row r="22" spans="1:40" ht="18.95" customHeight="1" x14ac:dyDescent="0.25">
      <c r="A22" s="158" t="s">
        <v>182</v>
      </c>
      <c r="B22" s="158" t="s">
        <v>106</v>
      </c>
      <c r="C22" s="115" t="s">
        <v>107</v>
      </c>
      <c r="D22" s="116" t="s">
        <v>187</v>
      </c>
      <c r="E22" s="158" t="s">
        <v>183</v>
      </c>
      <c r="F22" s="158" t="s">
        <v>184</v>
      </c>
      <c r="G22" s="158" t="s">
        <v>185</v>
      </c>
      <c r="H22" s="158" t="s">
        <v>186</v>
      </c>
      <c r="I22" s="158" t="s">
        <v>182</v>
      </c>
      <c r="J22" s="158" t="s">
        <v>106</v>
      </c>
      <c r="K22" s="115" t="s">
        <v>107</v>
      </c>
      <c r="L22" s="116" t="s">
        <v>187</v>
      </c>
      <c r="M22" s="158" t="s">
        <v>183</v>
      </c>
      <c r="N22" s="158" t="s">
        <v>184</v>
      </c>
      <c r="O22" s="158" t="s">
        <v>185</v>
      </c>
      <c r="P22" s="158" t="s">
        <v>186</v>
      </c>
      <c r="R22" s="463" t="s">
        <v>722</v>
      </c>
      <c r="S22" s="464"/>
      <c r="T22" s="106"/>
      <c r="U22" s="106"/>
      <c r="V22" s="106">
        <v>3</v>
      </c>
      <c r="W22" s="106">
        <v>3</v>
      </c>
      <c r="Z22" s="463" t="s">
        <v>722</v>
      </c>
      <c r="AA22" s="464"/>
      <c r="AB22" s="106">
        <v>0.25</v>
      </c>
      <c r="AC22" s="106">
        <v>0.25</v>
      </c>
      <c r="AD22" s="106">
        <v>25</v>
      </c>
      <c r="AE22" s="106">
        <v>25</v>
      </c>
      <c r="AH22" s="455"/>
      <c r="AI22" s="456"/>
      <c r="AJ22" s="106"/>
      <c r="AK22" s="106"/>
      <c r="AL22" s="106"/>
      <c r="AM22" s="106"/>
    </row>
    <row r="23" spans="1:40" ht="18.95" customHeight="1" x14ac:dyDescent="0.25">
      <c r="A23" s="41">
        <f>выпечка!E5</f>
        <v>4.1100000000000003</v>
      </c>
      <c r="B23" s="41">
        <f>выпечка!F5</f>
        <v>1.44</v>
      </c>
      <c r="C23" s="41">
        <f>выпечка!G5</f>
        <v>35.53</v>
      </c>
      <c r="D23" s="41">
        <f>выпечка!H5</f>
        <v>125</v>
      </c>
      <c r="E23" s="41">
        <f>выпечка!M5</f>
        <v>14.29</v>
      </c>
      <c r="F23" s="41">
        <f>выпечка!O5</f>
        <v>17.079999999999998</v>
      </c>
      <c r="G23" s="41">
        <f>выпечка!P5</f>
        <v>1.17</v>
      </c>
      <c r="H23" s="41">
        <f>выпечка!J5</f>
        <v>0.25</v>
      </c>
      <c r="I23" s="41">
        <f>выпечка!E11</f>
        <v>4.46</v>
      </c>
      <c r="J23" s="41">
        <f>выпечка!F11</f>
        <v>2.98</v>
      </c>
      <c r="K23" s="41">
        <f>выпечка!G11</f>
        <v>44.12</v>
      </c>
      <c r="L23" s="41">
        <f>выпечка!H11</f>
        <v>222</v>
      </c>
      <c r="M23" s="41">
        <f>выпечка!M11</f>
        <v>15.6</v>
      </c>
      <c r="N23" s="41">
        <f>выпечка!O11</f>
        <v>17.399999999999999</v>
      </c>
      <c r="O23" s="41">
        <f>выпечка!P11</f>
        <v>1.08</v>
      </c>
      <c r="P23" s="41">
        <f>выпечка!J11</f>
        <v>0.08</v>
      </c>
      <c r="R23" s="455" t="s">
        <v>723</v>
      </c>
      <c r="S23" s="456"/>
      <c r="T23" s="106"/>
      <c r="U23" s="106"/>
      <c r="V23" s="106" t="s">
        <v>725</v>
      </c>
      <c r="W23" s="106">
        <v>3</v>
      </c>
      <c r="Z23" s="457" t="s">
        <v>180</v>
      </c>
      <c r="AA23" s="458"/>
      <c r="AB23" s="118"/>
      <c r="AC23" s="106">
        <v>75</v>
      </c>
      <c r="AD23" s="106"/>
      <c r="AE23" s="182" t="s">
        <v>738</v>
      </c>
      <c r="AH23" s="455" t="s">
        <v>701</v>
      </c>
      <c r="AI23" s="456"/>
      <c r="AJ23" s="106">
        <v>0.25</v>
      </c>
      <c r="AK23" s="106">
        <v>0.25</v>
      </c>
      <c r="AL23" s="106">
        <v>25</v>
      </c>
      <c r="AM23" s="106">
        <v>25</v>
      </c>
    </row>
    <row r="24" spans="1:40" ht="18.95" customHeight="1" x14ac:dyDescent="0.25">
      <c r="R24" s="457" t="s">
        <v>180</v>
      </c>
      <c r="S24" s="458"/>
      <c r="T24" s="118"/>
      <c r="U24" s="106"/>
      <c r="V24" s="106"/>
      <c r="W24" s="106">
        <v>1000</v>
      </c>
      <c r="AH24" s="540" t="s">
        <v>702</v>
      </c>
      <c r="AI24" s="541"/>
      <c r="AJ24" s="106">
        <v>1.5</v>
      </c>
      <c r="AK24" s="106">
        <v>1.5</v>
      </c>
      <c r="AL24" s="106">
        <v>150</v>
      </c>
      <c r="AM24" s="106">
        <v>150</v>
      </c>
    </row>
    <row r="25" spans="1:40" ht="18.95" customHeight="1" x14ac:dyDescent="0.25">
      <c r="A25" s="459" t="s">
        <v>704</v>
      </c>
      <c r="B25" s="459"/>
      <c r="C25" s="459"/>
      <c r="D25" s="459"/>
      <c r="E25" s="459"/>
      <c r="F25" s="459"/>
      <c r="G25" s="459"/>
      <c r="H25" s="459"/>
      <c r="I25" s="459" t="s">
        <v>713</v>
      </c>
      <c r="J25" s="459"/>
      <c r="K25" s="459"/>
      <c r="L25" s="459"/>
      <c r="M25" s="459"/>
      <c r="N25" s="459"/>
      <c r="O25" s="459"/>
      <c r="P25" s="459"/>
      <c r="X25" s="199"/>
      <c r="Y25" s="459" t="s">
        <v>181</v>
      </c>
      <c r="Z25" s="459"/>
      <c r="AA25" s="459"/>
      <c r="AB25" s="459"/>
      <c r="AC25" s="459"/>
      <c r="AD25" s="459"/>
      <c r="AE25" s="459"/>
      <c r="AF25" s="459"/>
      <c r="AH25" s="457" t="s">
        <v>180</v>
      </c>
      <c r="AI25" s="458"/>
      <c r="AJ25" s="118"/>
      <c r="AK25" s="106">
        <v>75</v>
      </c>
      <c r="AL25" s="106"/>
      <c r="AM25" s="182" t="s">
        <v>738</v>
      </c>
    </row>
    <row r="26" spans="1:40" ht="18.95" customHeight="1" x14ac:dyDescent="0.25">
      <c r="A26" s="158" t="s">
        <v>182</v>
      </c>
      <c r="B26" s="158" t="s">
        <v>106</v>
      </c>
      <c r="C26" s="115" t="s">
        <v>107</v>
      </c>
      <c r="D26" s="116" t="s">
        <v>187</v>
      </c>
      <c r="E26" s="158" t="s">
        <v>183</v>
      </c>
      <c r="F26" s="158" t="s">
        <v>184</v>
      </c>
      <c r="G26" s="158" t="s">
        <v>185</v>
      </c>
      <c r="H26" s="158" t="s">
        <v>186</v>
      </c>
      <c r="I26" s="158" t="s">
        <v>182</v>
      </c>
      <c r="J26" s="158" t="s">
        <v>106</v>
      </c>
      <c r="K26" s="115" t="s">
        <v>107</v>
      </c>
      <c r="L26" s="116" t="s">
        <v>187</v>
      </c>
      <c r="M26" s="158" t="s">
        <v>183</v>
      </c>
      <c r="N26" s="158" t="s">
        <v>184</v>
      </c>
      <c r="O26" s="158" t="s">
        <v>185</v>
      </c>
      <c r="P26" s="158" t="s">
        <v>186</v>
      </c>
      <c r="Q26" s="460" t="s">
        <v>181</v>
      </c>
      <c r="R26" s="459"/>
      <c r="S26" s="459"/>
      <c r="T26" s="459"/>
      <c r="U26" s="459"/>
      <c r="V26" s="459"/>
      <c r="W26" s="459"/>
      <c r="X26" s="461"/>
      <c r="Y26" s="158" t="s">
        <v>182</v>
      </c>
      <c r="Z26" s="158" t="s">
        <v>106</v>
      </c>
      <c r="AA26" s="115" t="s">
        <v>107</v>
      </c>
      <c r="AB26" s="116" t="s">
        <v>187</v>
      </c>
      <c r="AC26" s="158" t="s">
        <v>183</v>
      </c>
      <c r="AD26" s="158" t="s">
        <v>184</v>
      </c>
      <c r="AE26" s="158" t="s">
        <v>185</v>
      </c>
      <c r="AF26" s="158" t="s">
        <v>186</v>
      </c>
    </row>
    <row r="27" spans="1:40" ht="18.95" customHeight="1" x14ac:dyDescent="0.25">
      <c r="A27" s="41">
        <f>выпечка!E7</f>
        <v>4.71</v>
      </c>
      <c r="B27" s="41">
        <f>выпечка!F7</f>
        <v>1.92</v>
      </c>
      <c r="C27" s="41">
        <f>выпечка!G7</f>
        <v>27.53</v>
      </c>
      <c r="D27" s="41">
        <f>выпечка!H7</f>
        <v>146</v>
      </c>
      <c r="E27" s="41">
        <f>выпечка!M7</f>
        <v>18.03</v>
      </c>
      <c r="F27" s="41">
        <f>выпечка!O7</f>
        <v>18.28</v>
      </c>
      <c r="G27" s="41">
        <f>выпечка!P7</f>
        <v>0.88</v>
      </c>
      <c r="H27" s="41">
        <f>выпечка!J7</f>
        <v>0.62</v>
      </c>
      <c r="I27" s="41">
        <f>выпечка!E13</f>
        <v>10.244444444444445</v>
      </c>
      <c r="J27" s="41">
        <f>выпечка!F13</f>
        <v>6.0888888888888895</v>
      </c>
      <c r="K27" s="41">
        <f>выпечка!G13</f>
        <v>32.422222222222224</v>
      </c>
      <c r="L27" s="41">
        <f>выпечка!H13</f>
        <v>224.44444444444446</v>
      </c>
      <c r="M27" s="41">
        <f>выпечка!M13</f>
        <v>56.444444444444443</v>
      </c>
      <c r="N27" s="41">
        <f>выпечка!O13</f>
        <v>24</v>
      </c>
      <c r="O27" s="41">
        <f>выпечка!P13</f>
        <v>1</v>
      </c>
      <c r="P27" s="41">
        <f>выпечка!J13</f>
        <v>4.4444444444444446E-2</v>
      </c>
      <c r="Q27" s="158" t="s">
        <v>182</v>
      </c>
      <c r="R27" s="158" t="s">
        <v>106</v>
      </c>
      <c r="S27" s="115" t="s">
        <v>107</v>
      </c>
      <c r="T27" s="116" t="s">
        <v>187</v>
      </c>
      <c r="U27" s="158" t="s">
        <v>183</v>
      </c>
      <c r="V27" s="158" t="s">
        <v>184</v>
      </c>
      <c r="W27" s="158" t="s">
        <v>185</v>
      </c>
      <c r="X27" s="158" t="s">
        <v>186</v>
      </c>
      <c r="Y27" s="41">
        <f>выпечка!E17</f>
        <v>4.78</v>
      </c>
      <c r="Z27" s="41">
        <f>выпечка!F17</f>
        <v>8.84</v>
      </c>
      <c r="AA27" s="41">
        <f>выпечка!G17</f>
        <v>38.04</v>
      </c>
      <c r="AB27" s="41">
        <f>выпечка!H17</f>
        <v>250</v>
      </c>
      <c r="AC27" s="41">
        <f>выпечка!M17</f>
        <v>15</v>
      </c>
      <c r="AD27" s="41">
        <f>выпечка!O17</f>
        <v>17.2</v>
      </c>
      <c r="AE27" s="41">
        <f>выпечка!P17</f>
        <v>0.94</v>
      </c>
      <c r="AF27" s="41">
        <f>выпечка!J17</f>
        <v>0</v>
      </c>
      <c r="AG27" s="459" t="s">
        <v>181</v>
      </c>
      <c r="AH27" s="459"/>
      <c r="AI27" s="459"/>
      <c r="AJ27" s="459"/>
      <c r="AK27" s="459"/>
      <c r="AL27" s="459"/>
      <c r="AM27" s="459"/>
      <c r="AN27" s="459"/>
    </row>
    <row r="28" spans="1:40" ht="18.95" customHeight="1" x14ac:dyDescent="0.25">
      <c r="I28" s="119"/>
      <c r="J28" s="119"/>
      <c r="K28" s="119"/>
      <c r="L28" s="119"/>
      <c r="M28" s="119"/>
      <c r="N28" s="119"/>
      <c r="O28" s="119"/>
      <c r="P28" s="119"/>
      <c r="Q28" s="41">
        <f>выпечка!E15</f>
        <v>61.8</v>
      </c>
      <c r="R28" s="41">
        <f>выпечка!F15</f>
        <v>32.200000000000003</v>
      </c>
      <c r="S28" s="41">
        <f>выпечка!G15</f>
        <v>553.20000000000005</v>
      </c>
      <c r="T28" s="41">
        <f>выпечка!H15</f>
        <v>2750</v>
      </c>
      <c r="U28" s="41">
        <f>выпечка!M15</f>
        <v>195</v>
      </c>
      <c r="V28" s="41">
        <f>выпечка!O15</f>
        <v>241</v>
      </c>
      <c r="W28" s="41">
        <f>выпечка!P15</f>
        <v>13.9</v>
      </c>
      <c r="X28" s="41">
        <f>выпечка!J15</f>
        <v>0.8</v>
      </c>
      <c r="AG28" s="158" t="s">
        <v>182</v>
      </c>
      <c r="AH28" s="158" t="s">
        <v>106</v>
      </c>
      <c r="AI28" s="115" t="s">
        <v>107</v>
      </c>
      <c r="AJ28" s="116" t="s">
        <v>187</v>
      </c>
      <c r="AK28" s="158" t="s">
        <v>183</v>
      </c>
      <c r="AL28" s="158" t="s">
        <v>184</v>
      </c>
      <c r="AM28" s="158" t="s">
        <v>185</v>
      </c>
      <c r="AN28" s="158" t="s">
        <v>186</v>
      </c>
    </row>
    <row r="29" spans="1:40" ht="18.95" customHeight="1" x14ac:dyDescent="0.25">
      <c r="A29" s="459" t="s">
        <v>705</v>
      </c>
      <c r="B29" s="459"/>
      <c r="C29" s="459"/>
      <c r="D29" s="459"/>
      <c r="E29" s="459"/>
      <c r="F29" s="459"/>
      <c r="G29" s="459"/>
      <c r="H29" s="459"/>
      <c r="I29" s="462" t="s">
        <v>714</v>
      </c>
      <c r="J29" s="462"/>
      <c r="K29" s="462"/>
      <c r="L29" s="462"/>
      <c r="M29" s="462"/>
      <c r="N29" s="462"/>
      <c r="O29" s="462"/>
      <c r="P29" s="462"/>
      <c r="Y29" s="462" t="s">
        <v>739</v>
      </c>
      <c r="Z29" s="462"/>
      <c r="AA29" s="462"/>
      <c r="AB29" s="462"/>
      <c r="AC29" s="462"/>
      <c r="AD29" s="462"/>
      <c r="AE29" s="462"/>
      <c r="AF29" s="462"/>
      <c r="AG29" s="41">
        <f>выпечка!E19</f>
        <v>4.96</v>
      </c>
      <c r="AH29" s="41">
        <f>выпечка!F19</f>
        <v>8.14</v>
      </c>
      <c r="AI29" s="41">
        <f>выпечка!G19</f>
        <v>36.24</v>
      </c>
      <c r="AJ29" s="41">
        <f>выпечка!H19</f>
        <v>238</v>
      </c>
      <c r="AK29" s="41">
        <f>выпечка!M19</f>
        <v>24</v>
      </c>
      <c r="AL29" s="41">
        <f>выпечка!O19</f>
        <v>15.2</v>
      </c>
      <c r="AM29" s="41">
        <f>выпечка!P19</f>
        <v>1.1399999999999999</v>
      </c>
      <c r="AN29" s="41">
        <f>выпечка!J19</f>
        <v>0.26</v>
      </c>
    </row>
    <row r="30" spans="1:40" ht="18.95" customHeight="1" x14ac:dyDescent="0.25">
      <c r="A30" s="158" t="s">
        <v>182</v>
      </c>
      <c r="B30" s="158" t="s">
        <v>106</v>
      </c>
      <c r="C30" s="115" t="s">
        <v>107</v>
      </c>
      <c r="D30" s="116" t="s">
        <v>187</v>
      </c>
      <c r="E30" s="158" t="s">
        <v>183</v>
      </c>
      <c r="F30" s="158" t="s">
        <v>184</v>
      </c>
      <c r="G30" s="158" t="s">
        <v>185</v>
      </c>
      <c r="H30" s="158" t="s">
        <v>186</v>
      </c>
      <c r="I30" s="462"/>
      <c r="J30" s="462"/>
      <c r="K30" s="462"/>
      <c r="L30" s="462"/>
      <c r="M30" s="462"/>
      <c r="N30" s="462"/>
      <c r="O30" s="462"/>
      <c r="P30" s="462"/>
      <c r="Q30" s="462" t="s">
        <v>726</v>
      </c>
      <c r="R30" s="462"/>
      <c r="S30" s="462"/>
      <c r="T30" s="462"/>
      <c r="U30" s="462"/>
      <c r="V30" s="462"/>
      <c r="W30" s="462"/>
      <c r="X30" s="462"/>
      <c r="Y30" s="462"/>
      <c r="Z30" s="462"/>
      <c r="AA30" s="462"/>
      <c r="AB30" s="462"/>
      <c r="AC30" s="462"/>
      <c r="AD30" s="462"/>
      <c r="AE30" s="462"/>
      <c r="AF30" s="462"/>
    </row>
    <row r="31" spans="1:40" ht="18.95" customHeight="1" x14ac:dyDescent="0.25">
      <c r="A31" s="41">
        <f>выпечка!E9</f>
        <v>4.51</v>
      </c>
      <c r="B31" s="41">
        <f>выпечка!F9</f>
        <v>2.2999999999999998</v>
      </c>
      <c r="C31" s="41">
        <f>выпечка!G9</f>
        <v>30.41</v>
      </c>
      <c r="D31" s="41">
        <f>выпечка!H9</f>
        <v>160</v>
      </c>
      <c r="E31" s="41">
        <f>выпечка!M9</f>
        <v>14.94</v>
      </c>
      <c r="F31" s="41">
        <f>выпечка!O9</f>
        <v>20.170000000000002</v>
      </c>
      <c r="G31" s="41">
        <f>выпечка!P9</f>
        <v>0.9</v>
      </c>
      <c r="H31" s="41">
        <f>выпечка!J9</f>
        <v>0.5</v>
      </c>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t="s">
        <v>748</v>
      </c>
      <c r="AH31" s="462"/>
      <c r="AI31" s="462"/>
      <c r="AJ31" s="462"/>
      <c r="AK31" s="462"/>
      <c r="AL31" s="462"/>
      <c r="AM31" s="462"/>
      <c r="AN31" s="462"/>
    </row>
    <row r="32" spans="1:40" ht="18.95" customHeight="1" x14ac:dyDescent="0.25">
      <c r="A32" s="119"/>
      <c r="B32" s="119"/>
      <c r="C32" s="119"/>
      <c r="D32" s="119"/>
      <c r="E32" s="119"/>
      <c r="F32" s="119"/>
      <c r="G32" s="119"/>
      <c r="H32" s="119"/>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row>
    <row r="33" spans="1:40" ht="18.95" customHeight="1" x14ac:dyDescent="0.25">
      <c r="A33" s="462" t="s">
        <v>706</v>
      </c>
      <c r="B33" s="462"/>
      <c r="C33" s="462"/>
      <c r="D33" s="462"/>
      <c r="E33" s="462"/>
      <c r="F33" s="462"/>
      <c r="G33" s="462"/>
      <c r="H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row>
    <row r="34" spans="1:40" ht="18.95" customHeight="1" x14ac:dyDescent="0.25">
      <c r="A34" s="462"/>
      <c r="B34" s="462"/>
      <c r="C34" s="462"/>
      <c r="D34" s="462"/>
      <c r="E34" s="462"/>
      <c r="F34" s="462"/>
      <c r="G34" s="462"/>
      <c r="H34" s="462"/>
      <c r="I34" s="454" t="s">
        <v>232</v>
      </c>
      <c r="J34" s="454"/>
      <c r="K34" s="454"/>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row>
    <row r="35" spans="1:40" ht="18.95" customHeight="1" x14ac:dyDescent="0.25">
      <c r="A35" s="462"/>
      <c r="B35" s="462"/>
      <c r="C35" s="462"/>
      <c r="D35" s="462"/>
      <c r="E35" s="462"/>
      <c r="F35" s="462"/>
      <c r="G35" s="462"/>
      <c r="H35" s="462"/>
      <c r="Y35" s="462"/>
      <c r="Z35" s="462"/>
      <c r="AA35" s="462"/>
      <c r="AB35" s="462"/>
      <c r="AC35" s="462"/>
      <c r="AD35" s="462"/>
      <c r="AE35" s="462"/>
      <c r="AF35" s="462"/>
      <c r="AG35" s="462"/>
      <c r="AH35" s="462"/>
      <c r="AI35" s="462"/>
      <c r="AJ35" s="462"/>
      <c r="AK35" s="462"/>
      <c r="AL35" s="462"/>
      <c r="AM35" s="462"/>
      <c r="AN35" s="462"/>
    </row>
    <row r="36" spans="1:40" ht="18.95" customHeight="1" x14ac:dyDescent="0.25">
      <c r="A36" s="462"/>
      <c r="B36" s="462"/>
      <c r="C36" s="462"/>
      <c r="D36" s="462"/>
      <c r="E36" s="462"/>
      <c r="F36" s="462"/>
      <c r="G36" s="462"/>
      <c r="H36" s="462"/>
      <c r="Q36" s="454" t="s">
        <v>232</v>
      </c>
      <c r="R36" s="454"/>
      <c r="S36" s="454"/>
      <c r="Y36" s="462"/>
      <c r="Z36" s="462"/>
      <c r="AA36" s="462"/>
      <c r="AB36" s="462"/>
      <c r="AC36" s="462"/>
      <c r="AD36" s="462"/>
      <c r="AE36" s="462"/>
      <c r="AF36" s="462"/>
    </row>
    <row r="37" spans="1:40" ht="18.95" customHeight="1" x14ac:dyDescent="0.25">
      <c r="A37" s="462"/>
      <c r="B37" s="462"/>
      <c r="C37" s="462"/>
      <c r="D37" s="462"/>
      <c r="E37" s="462"/>
      <c r="F37" s="462"/>
      <c r="G37" s="462"/>
      <c r="H37" s="462"/>
      <c r="AG37" s="454" t="s">
        <v>232</v>
      </c>
      <c r="AH37" s="454"/>
      <c r="AI37" s="454"/>
    </row>
    <row r="38" spans="1:40" ht="18.95" customHeight="1" x14ac:dyDescent="0.25">
      <c r="Y38" s="454" t="s">
        <v>232</v>
      </c>
      <c r="Z38" s="454"/>
      <c r="AA38" s="454"/>
    </row>
    <row r="39" spans="1:40" ht="18.95" customHeight="1" x14ac:dyDescent="0.25">
      <c r="A39" s="454" t="s">
        <v>232</v>
      </c>
      <c r="B39" s="454"/>
      <c r="C39" s="454"/>
    </row>
    <row r="40" spans="1:40" ht="18.95" customHeight="1" x14ac:dyDescent="0.25"/>
    <row r="41" spans="1:40" ht="18.95" customHeight="1" x14ac:dyDescent="0.25"/>
    <row r="42" spans="1:40" x14ac:dyDescent="0.25">
      <c r="A42" s="454" t="s">
        <v>214</v>
      </c>
      <c r="B42" s="454"/>
      <c r="F42" s="454" t="s">
        <v>215</v>
      </c>
      <c r="G42" s="454"/>
      <c r="H42" s="454"/>
      <c r="I42" s="454" t="s">
        <v>214</v>
      </c>
      <c r="J42" s="454"/>
      <c r="N42" s="454" t="s">
        <v>215</v>
      </c>
      <c r="O42" s="454"/>
      <c r="P42" s="454"/>
      <c r="Q42" s="454" t="s">
        <v>214</v>
      </c>
      <c r="R42" s="454"/>
      <c r="V42" s="454" t="s">
        <v>215</v>
      </c>
      <c r="W42" s="454"/>
      <c r="X42" s="454"/>
      <c r="Y42" s="454" t="s">
        <v>214</v>
      </c>
      <c r="Z42" s="454"/>
      <c r="AD42" s="454" t="s">
        <v>215</v>
      </c>
      <c r="AE42" s="454"/>
      <c r="AF42" s="454"/>
      <c r="AG42" s="454" t="s">
        <v>214</v>
      </c>
      <c r="AH42" s="454"/>
      <c r="AL42" s="454" t="s">
        <v>215</v>
      </c>
      <c r="AM42" s="454"/>
      <c r="AN42" s="454"/>
    </row>
    <row r="43" spans="1:40" x14ac:dyDescent="0.25">
      <c r="E43" s="454" t="s">
        <v>216</v>
      </c>
      <c r="F43" s="454"/>
      <c r="G43" s="454"/>
      <c r="H43" s="454"/>
      <c r="M43" s="454" t="s">
        <v>216</v>
      </c>
      <c r="N43" s="454"/>
      <c r="O43" s="454"/>
      <c r="P43" s="454"/>
      <c r="U43" s="454" t="s">
        <v>216</v>
      </c>
      <c r="V43" s="454"/>
      <c r="W43" s="454"/>
      <c r="X43" s="454"/>
      <c r="AC43" s="454" t="s">
        <v>216</v>
      </c>
      <c r="AD43" s="454"/>
      <c r="AE43" s="454"/>
      <c r="AF43" s="454"/>
      <c r="AK43" s="454" t="s">
        <v>216</v>
      </c>
      <c r="AL43" s="454"/>
      <c r="AM43" s="454"/>
      <c r="AN43" s="454"/>
    </row>
    <row r="44" spans="1:40" x14ac:dyDescent="0.25">
      <c r="E44" s="161"/>
      <c r="F44" s="161"/>
      <c r="G44" s="161"/>
      <c r="H44" s="161"/>
      <c r="M44" s="161"/>
      <c r="N44" s="161"/>
      <c r="O44" s="161"/>
      <c r="P44" s="161"/>
      <c r="U44" s="161"/>
      <c r="V44" s="161"/>
      <c r="W44" s="161"/>
      <c r="X44" s="161"/>
      <c r="AC44" s="161"/>
      <c r="AD44" s="161"/>
      <c r="AE44" s="161"/>
      <c r="AF44" s="161"/>
      <c r="AK44" s="161"/>
      <c r="AL44" s="161"/>
      <c r="AM44" s="161"/>
      <c r="AN44" s="161"/>
    </row>
    <row r="45" spans="1:40" ht="18.95" customHeight="1" x14ac:dyDescent="0.25">
      <c r="A45" s="414" t="s">
        <v>749</v>
      </c>
      <c r="B45" s="414"/>
      <c r="C45" s="414"/>
      <c r="D45" s="414"/>
      <c r="E45" s="414"/>
      <c r="F45" s="414"/>
      <c r="G45" s="414"/>
      <c r="H45" s="414"/>
      <c r="I45" s="414" t="s">
        <v>750</v>
      </c>
      <c r="J45" s="414"/>
      <c r="K45" s="414"/>
      <c r="L45" s="414"/>
      <c r="M45" s="414"/>
      <c r="N45" s="414"/>
      <c r="O45" s="414"/>
      <c r="P45" s="414"/>
      <c r="Q45" s="414" t="s">
        <v>751</v>
      </c>
      <c r="R45" s="414"/>
      <c r="S45" s="414"/>
      <c r="T45" s="414"/>
      <c r="U45" s="414"/>
      <c r="V45" s="414"/>
      <c r="W45" s="414"/>
      <c r="X45" s="414"/>
      <c r="Y45" s="414" t="s">
        <v>752</v>
      </c>
      <c r="Z45" s="414"/>
      <c r="AA45" s="414"/>
      <c r="AB45" s="414"/>
      <c r="AC45" s="414"/>
      <c r="AD45" s="414"/>
      <c r="AE45" s="414"/>
      <c r="AF45" s="414"/>
      <c r="AG45" s="414" t="s">
        <v>753</v>
      </c>
      <c r="AH45" s="414"/>
      <c r="AI45" s="414"/>
      <c r="AJ45" s="414"/>
      <c r="AK45" s="414"/>
      <c r="AL45" s="414"/>
      <c r="AM45" s="414"/>
      <c r="AN45" s="414"/>
    </row>
    <row r="46" spans="1:40" ht="18.95" customHeight="1" x14ac:dyDescent="0.25">
      <c r="A46" s="473" t="s">
        <v>759</v>
      </c>
      <c r="B46" s="465"/>
      <c r="C46" s="465"/>
      <c r="D46" s="465"/>
      <c r="E46" s="465"/>
      <c r="F46" s="465"/>
      <c r="G46" s="465"/>
      <c r="H46" s="465"/>
      <c r="I46" s="473" t="s">
        <v>782</v>
      </c>
      <c r="J46" s="465"/>
      <c r="K46" s="465"/>
      <c r="L46" s="465"/>
      <c r="M46" s="465"/>
      <c r="N46" s="465"/>
      <c r="O46" s="465"/>
      <c r="P46" s="465"/>
      <c r="Q46" s="473" t="s">
        <v>787</v>
      </c>
      <c r="R46" s="465"/>
      <c r="S46" s="465"/>
      <c r="T46" s="465"/>
      <c r="U46" s="465"/>
      <c r="V46" s="465"/>
      <c r="W46" s="465"/>
      <c r="X46" s="465"/>
      <c r="Y46" s="473" t="s">
        <v>789</v>
      </c>
      <c r="Z46" s="465"/>
      <c r="AA46" s="465"/>
      <c r="AB46" s="465"/>
      <c r="AC46" s="465"/>
      <c r="AD46" s="465"/>
      <c r="AE46" s="465"/>
      <c r="AF46" s="465"/>
      <c r="AG46" s="473" t="s">
        <v>793</v>
      </c>
      <c r="AH46" s="465"/>
      <c r="AI46" s="465"/>
      <c r="AJ46" s="465"/>
      <c r="AK46" s="465"/>
      <c r="AL46" s="465"/>
      <c r="AM46" s="465"/>
      <c r="AN46" s="465"/>
    </row>
    <row r="47" spans="1:40" ht="18.95" customHeight="1" x14ac:dyDescent="0.25">
      <c r="A47" s="473" t="s">
        <v>754</v>
      </c>
      <c r="B47" s="473"/>
      <c r="C47" s="473"/>
      <c r="D47" s="473"/>
      <c r="E47" s="473"/>
      <c r="F47" s="473"/>
      <c r="G47" s="473"/>
      <c r="H47" s="473"/>
      <c r="I47" s="473" t="s">
        <v>755</v>
      </c>
      <c r="J47" s="473"/>
      <c r="K47" s="473"/>
      <c r="L47" s="473"/>
      <c r="M47" s="473"/>
      <c r="N47" s="473"/>
      <c r="O47" s="473"/>
      <c r="P47" s="473"/>
      <c r="Q47" s="473" t="s">
        <v>756</v>
      </c>
      <c r="R47" s="473"/>
      <c r="S47" s="473"/>
      <c r="T47" s="473"/>
      <c r="U47" s="473"/>
      <c r="V47" s="473"/>
      <c r="W47" s="473"/>
      <c r="X47" s="473"/>
      <c r="Y47" s="473" t="s">
        <v>757</v>
      </c>
      <c r="Z47" s="473"/>
      <c r="AA47" s="473"/>
      <c r="AB47" s="473"/>
      <c r="AC47" s="473"/>
      <c r="AD47" s="473"/>
      <c r="AE47" s="473"/>
      <c r="AF47" s="473"/>
      <c r="AG47" s="473" t="s">
        <v>758</v>
      </c>
      <c r="AH47" s="473"/>
      <c r="AI47" s="473"/>
      <c r="AJ47" s="473"/>
      <c r="AK47" s="473"/>
      <c r="AL47" s="473"/>
      <c r="AM47" s="473"/>
      <c r="AN47" s="473"/>
    </row>
    <row r="48" spans="1:40" ht="18.95" customHeight="1" x14ac:dyDescent="0.25">
      <c r="A48" s="465" t="s">
        <v>189</v>
      </c>
      <c r="B48" s="465"/>
      <c r="C48" s="465"/>
      <c r="D48" s="465"/>
      <c r="E48" s="465"/>
      <c r="F48" s="465"/>
      <c r="G48" s="465"/>
      <c r="H48" s="465"/>
      <c r="I48" s="465" t="s">
        <v>189</v>
      </c>
      <c r="J48" s="465"/>
      <c r="K48" s="465"/>
      <c r="L48" s="465"/>
      <c r="M48" s="465"/>
      <c r="N48" s="465"/>
      <c r="O48" s="465"/>
      <c r="P48" s="465"/>
      <c r="Q48" s="465" t="s">
        <v>189</v>
      </c>
      <c r="R48" s="465"/>
      <c r="S48" s="465"/>
      <c r="T48" s="465"/>
      <c r="U48" s="465"/>
      <c r="V48" s="465"/>
      <c r="W48" s="465"/>
      <c r="X48" s="465"/>
      <c r="Y48" s="465" t="s">
        <v>189</v>
      </c>
      <c r="Z48" s="465"/>
      <c r="AA48" s="465"/>
      <c r="AB48" s="465"/>
      <c r="AC48" s="465"/>
      <c r="AD48" s="465"/>
      <c r="AE48" s="465"/>
      <c r="AF48" s="465"/>
      <c r="AG48" s="465" t="s">
        <v>189</v>
      </c>
      <c r="AH48" s="465"/>
      <c r="AI48" s="465"/>
      <c r="AJ48" s="465"/>
      <c r="AK48" s="465"/>
      <c r="AL48" s="465"/>
      <c r="AM48" s="465"/>
      <c r="AN48" s="465"/>
    </row>
    <row r="49" spans="1:40" ht="18.95" customHeight="1" x14ac:dyDescent="0.25">
      <c r="A49" s="465" t="s">
        <v>190</v>
      </c>
      <c r="B49" s="465"/>
      <c r="C49" s="465"/>
      <c r="D49" s="465"/>
      <c r="E49" s="465"/>
      <c r="F49" s="465"/>
      <c r="G49" s="465"/>
      <c r="H49" s="465"/>
      <c r="I49" s="465" t="s">
        <v>190</v>
      </c>
      <c r="J49" s="465"/>
      <c r="K49" s="465"/>
      <c r="L49" s="465"/>
      <c r="M49" s="465"/>
      <c r="N49" s="465"/>
      <c r="O49" s="465"/>
      <c r="P49" s="465"/>
      <c r="Q49" s="465" t="s">
        <v>190</v>
      </c>
      <c r="R49" s="465"/>
      <c r="S49" s="465"/>
      <c r="T49" s="465"/>
      <c r="U49" s="465"/>
      <c r="V49" s="465"/>
      <c r="W49" s="465"/>
      <c r="X49" s="465"/>
      <c r="Y49" s="465" t="s">
        <v>190</v>
      </c>
      <c r="Z49" s="465"/>
      <c r="AA49" s="465"/>
      <c r="AB49" s="465"/>
      <c r="AC49" s="465"/>
      <c r="AD49" s="465"/>
      <c r="AE49" s="465"/>
      <c r="AF49" s="465"/>
      <c r="AG49" s="465" t="s">
        <v>190</v>
      </c>
      <c r="AH49" s="465"/>
      <c r="AI49" s="465"/>
      <c r="AJ49" s="465"/>
      <c r="AK49" s="465"/>
      <c r="AL49" s="465"/>
      <c r="AM49" s="465"/>
      <c r="AN49" s="465"/>
    </row>
    <row r="50" spans="1:40" ht="18.95" customHeight="1" x14ac:dyDescent="0.25">
      <c r="C50" s="159"/>
      <c r="K50" s="159"/>
      <c r="S50" s="159"/>
      <c r="AA50" s="159"/>
      <c r="AI50" s="159"/>
    </row>
    <row r="51" spans="1:40" ht="18.95" customHeight="1" x14ac:dyDescent="0.25">
      <c r="B51" s="466" t="s">
        <v>174</v>
      </c>
      <c r="C51" s="467"/>
      <c r="D51" s="412" t="s">
        <v>179</v>
      </c>
      <c r="E51" s="412"/>
      <c r="F51" s="412"/>
      <c r="G51" s="412"/>
      <c r="J51" s="466" t="s">
        <v>174</v>
      </c>
      <c r="K51" s="467"/>
      <c r="L51" s="412" t="s">
        <v>179</v>
      </c>
      <c r="M51" s="412"/>
      <c r="N51" s="412"/>
      <c r="O51" s="412"/>
      <c r="R51" s="466" t="s">
        <v>174</v>
      </c>
      <c r="S51" s="467"/>
      <c r="T51" s="412" t="s">
        <v>179</v>
      </c>
      <c r="U51" s="412"/>
      <c r="V51" s="412"/>
      <c r="W51" s="412"/>
      <c r="Z51" s="466" t="s">
        <v>174</v>
      </c>
      <c r="AA51" s="467"/>
      <c r="AB51" s="412" t="s">
        <v>179</v>
      </c>
      <c r="AC51" s="412"/>
      <c r="AD51" s="412"/>
      <c r="AE51" s="412"/>
      <c r="AH51" s="466" t="s">
        <v>174</v>
      </c>
      <c r="AI51" s="467"/>
      <c r="AJ51" s="412" t="s">
        <v>179</v>
      </c>
      <c r="AK51" s="412"/>
      <c r="AL51" s="412"/>
      <c r="AM51" s="412"/>
    </row>
    <row r="52" spans="1:40" ht="18.95" customHeight="1" x14ac:dyDescent="0.25">
      <c r="B52" s="468"/>
      <c r="C52" s="469"/>
      <c r="D52" s="412" t="s">
        <v>177</v>
      </c>
      <c r="E52" s="412"/>
      <c r="F52" s="412" t="s">
        <v>178</v>
      </c>
      <c r="G52" s="412"/>
      <c r="J52" s="468"/>
      <c r="K52" s="469"/>
      <c r="L52" s="412" t="s">
        <v>177</v>
      </c>
      <c r="M52" s="412"/>
      <c r="N52" s="412" t="s">
        <v>178</v>
      </c>
      <c r="O52" s="412"/>
      <c r="R52" s="468"/>
      <c r="S52" s="469"/>
      <c r="T52" s="412" t="s">
        <v>177</v>
      </c>
      <c r="U52" s="412"/>
      <c r="V52" s="412" t="s">
        <v>178</v>
      </c>
      <c r="W52" s="412"/>
      <c r="Z52" s="468"/>
      <c r="AA52" s="469"/>
      <c r="AB52" s="412" t="s">
        <v>177</v>
      </c>
      <c r="AC52" s="412"/>
      <c r="AD52" s="412" t="s">
        <v>178</v>
      </c>
      <c r="AE52" s="412"/>
      <c r="AH52" s="468"/>
      <c r="AI52" s="469"/>
      <c r="AJ52" s="412" t="s">
        <v>177</v>
      </c>
      <c r="AK52" s="412"/>
      <c r="AL52" s="412" t="s">
        <v>178</v>
      </c>
      <c r="AM52" s="412"/>
    </row>
    <row r="53" spans="1:40" ht="18.95" customHeight="1" x14ac:dyDescent="0.25">
      <c r="B53" s="470"/>
      <c r="C53" s="471"/>
      <c r="D53" s="158" t="s">
        <v>175</v>
      </c>
      <c r="E53" s="158" t="s">
        <v>176</v>
      </c>
      <c r="F53" s="158" t="s">
        <v>175</v>
      </c>
      <c r="G53" s="158" t="s">
        <v>176</v>
      </c>
      <c r="J53" s="470"/>
      <c r="K53" s="471"/>
      <c r="L53" s="158" t="s">
        <v>175</v>
      </c>
      <c r="M53" s="158" t="s">
        <v>176</v>
      </c>
      <c r="N53" s="158" t="s">
        <v>175</v>
      </c>
      <c r="O53" s="158" t="s">
        <v>176</v>
      </c>
      <c r="R53" s="470"/>
      <c r="S53" s="471"/>
      <c r="T53" s="158" t="s">
        <v>175</v>
      </c>
      <c r="U53" s="158" t="s">
        <v>176</v>
      </c>
      <c r="V53" s="158" t="s">
        <v>175</v>
      </c>
      <c r="W53" s="158" t="s">
        <v>176</v>
      </c>
      <c r="Z53" s="470"/>
      <c r="AA53" s="471"/>
      <c r="AB53" s="158" t="s">
        <v>175</v>
      </c>
      <c r="AC53" s="158" t="s">
        <v>176</v>
      </c>
      <c r="AD53" s="158" t="s">
        <v>175</v>
      </c>
      <c r="AE53" s="158" t="s">
        <v>176</v>
      </c>
      <c r="AH53" s="470"/>
      <c r="AI53" s="471"/>
      <c r="AJ53" s="158" t="s">
        <v>175</v>
      </c>
      <c r="AK53" s="158" t="s">
        <v>176</v>
      </c>
      <c r="AL53" s="158" t="s">
        <v>175</v>
      </c>
      <c r="AM53" s="158" t="s">
        <v>176</v>
      </c>
    </row>
    <row r="54" spans="1:40" ht="18.95" customHeight="1" x14ac:dyDescent="0.25">
      <c r="B54" s="463" t="s">
        <v>733</v>
      </c>
      <c r="C54" s="464"/>
      <c r="D54" s="106">
        <v>64.17</v>
      </c>
      <c r="E54" s="106">
        <v>58.865000000000002</v>
      </c>
      <c r="F54" s="106">
        <v>6417</v>
      </c>
      <c r="G54" s="106">
        <v>5486.5</v>
      </c>
      <c r="J54" s="488" t="s">
        <v>781</v>
      </c>
      <c r="K54" s="489"/>
      <c r="L54" s="106">
        <v>63.02</v>
      </c>
      <c r="M54" s="106">
        <v>53.88</v>
      </c>
      <c r="N54" s="106">
        <v>6302</v>
      </c>
      <c r="O54" s="106">
        <v>5388.2</v>
      </c>
      <c r="R54" s="488" t="s">
        <v>781</v>
      </c>
      <c r="S54" s="489"/>
      <c r="T54" s="106">
        <v>61.04</v>
      </c>
      <c r="U54" s="106">
        <v>52.19</v>
      </c>
      <c r="V54" s="106">
        <v>6104</v>
      </c>
      <c r="W54" s="106">
        <v>5219</v>
      </c>
      <c r="Z54" s="463" t="s">
        <v>733</v>
      </c>
      <c r="AA54" s="464"/>
      <c r="AB54" s="106">
        <v>35</v>
      </c>
      <c r="AC54" s="106">
        <v>29.925000000000001</v>
      </c>
      <c r="AD54" s="106">
        <v>3500</v>
      </c>
      <c r="AE54" s="106">
        <v>2992.5</v>
      </c>
      <c r="AH54" s="463" t="s">
        <v>733</v>
      </c>
      <c r="AI54" s="464"/>
      <c r="AJ54" s="106">
        <v>43</v>
      </c>
      <c r="AK54" s="106">
        <v>36.765000000000001</v>
      </c>
      <c r="AL54" s="106">
        <v>4300</v>
      </c>
      <c r="AM54" s="106">
        <v>3676.5</v>
      </c>
    </row>
    <row r="55" spans="1:40" ht="18.95" customHeight="1" x14ac:dyDescent="0.25">
      <c r="B55" s="463" t="s">
        <v>740</v>
      </c>
      <c r="C55" s="464"/>
      <c r="D55" s="106">
        <v>3.38</v>
      </c>
      <c r="E55" s="106">
        <v>2.89</v>
      </c>
      <c r="F55" s="106">
        <v>338</v>
      </c>
      <c r="G55" s="106">
        <v>289</v>
      </c>
      <c r="J55" s="463" t="s">
        <v>783</v>
      </c>
      <c r="K55" s="464"/>
      <c r="L55" s="106">
        <v>2</v>
      </c>
      <c r="M55" s="106">
        <v>1.71</v>
      </c>
      <c r="N55" s="106">
        <v>200</v>
      </c>
      <c r="O55" s="106">
        <v>171</v>
      </c>
      <c r="R55" s="463" t="s">
        <v>783</v>
      </c>
      <c r="S55" s="464"/>
      <c r="T55" s="106">
        <v>2</v>
      </c>
      <c r="U55" s="106">
        <v>1.71</v>
      </c>
      <c r="V55" s="106">
        <v>200</v>
      </c>
      <c r="W55" s="106">
        <v>171</v>
      </c>
      <c r="Z55" s="463" t="s">
        <v>740</v>
      </c>
      <c r="AA55" s="464"/>
      <c r="AB55" s="106">
        <v>0.71</v>
      </c>
      <c r="AC55" s="106">
        <v>0.60699999999999998</v>
      </c>
      <c r="AD55" s="106">
        <v>71</v>
      </c>
      <c r="AE55" s="106">
        <v>60.7</v>
      </c>
      <c r="AH55" s="463" t="s">
        <v>740</v>
      </c>
      <c r="AI55" s="464"/>
      <c r="AJ55" s="106">
        <v>1.5</v>
      </c>
      <c r="AK55" s="106">
        <v>1.2829999999999999</v>
      </c>
      <c r="AL55" s="106">
        <v>150</v>
      </c>
      <c r="AM55" s="106">
        <v>128.30000000000001</v>
      </c>
    </row>
    <row r="56" spans="1:40" ht="18.95" customHeight="1" x14ac:dyDescent="0.25">
      <c r="B56" s="455" t="s">
        <v>741</v>
      </c>
      <c r="C56" s="456"/>
      <c r="D56" s="106">
        <v>11</v>
      </c>
      <c r="E56" s="106">
        <v>10.984</v>
      </c>
      <c r="F56" s="106">
        <v>1100</v>
      </c>
      <c r="G56" s="106">
        <v>1098.4000000000001</v>
      </c>
      <c r="J56" s="455" t="s">
        <v>741</v>
      </c>
      <c r="K56" s="456"/>
      <c r="L56" s="106">
        <v>12</v>
      </c>
      <c r="M56" s="106">
        <v>11.981999999999999</v>
      </c>
      <c r="N56" s="106">
        <v>1200</v>
      </c>
      <c r="O56" s="106">
        <v>1198.2</v>
      </c>
      <c r="R56" s="455" t="s">
        <v>741</v>
      </c>
      <c r="S56" s="456"/>
      <c r="T56" s="106">
        <v>12</v>
      </c>
      <c r="U56" s="106">
        <v>11.981999999999999</v>
      </c>
      <c r="V56" s="106">
        <v>1200</v>
      </c>
      <c r="W56" s="106">
        <v>1198.2</v>
      </c>
      <c r="Z56" s="455" t="s">
        <v>735</v>
      </c>
      <c r="AA56" s="456"/>
      <c r="AB56" s="106">
        <v>1.07</v>
      </c>
      <c r="AC56" s="106">
        <v>0.26800000000000002</v>
      </c>
      <c r="AD56" s="106">
        <v>107</v>
      </c>
      <c r="AE56" s="106">
        <v>26.8</v>
      </c>
      <c r="AH56" s="455" t="s">
        <v>735</v>
      </c>
      <c r="AI56" s="456"/>
      <c r="AJ56" s="106">
        <v>1.3</v>
      </c>
      <c r="AK56" s="106">
        <v>0.32500000000000001</v>
      </c>
      <c r="AL56" s="106">
        <v>130</v>
      </c>
      <c r="AM56" s="106">
        <v>32.5</v>
      </c>
    </row>
    <row r="57" spans="1:40" ht="18.95" customHeight="1" x14ac:dyDescent="0.25">
      <c r="B57" s="455" t="s">
        <v>760</v>
      </c>
      <c r="C57" s="456"/>
      <c r="D57" s="106">
        <v>3.2</v>
      </c>
      <c r="E57" s="106">
        <v>3.1949999999999998</v>
      </c>
      <c r="F57" s="106">
        <v>320</v>
      </c>
      <c r="G57" s="106">
        <v>319.5</v>
      </c>
      <c r="J57" s="455" t="s">
        <v>742</v>
      </c>
      <c r="K57" s="456"/>
      <c r="L57" s="106">
        <v>15.02</v>
      </c>
      <c r="M57" s="106">
        <v>12.617000000000001</v>
      </c>
      <c r="N57" s="106">
        <v>1502</v>
      </c>
      <c r="O57" s="106">
        <v>1261.7</v>
      </c>
      <c r="R57" s="455" t="s">
        <v>742</v>
      </c>
      <c r="S57" s="456"/>
      <c r="T57" s="106">
        <v>15.02</v>
      </c>
      <c r="U57" s="106">
        <v>12.617000000000001</v>
      </c>
      <c r="V57" s="106">
        <v>1502</v>
      </c>
      <c r="W57" s="106">
        <v>1261.7</v>
      </c>
      <c r="Z57" s="455" t="s">
        <v>476</v>
      </c>
      <c r="AA57" s="456"/>
      <c r="AB57" s="106">
        <v>0.36</v>
      </c>
      <c r="AC57" s="106">
        <v>0.34699999999999998</v>
      </c>
      <c r="AD57" s="106">
        <v>36</v>
      </c>
      <c r="AE57" s="106">
        <v>34.700000000000003</v>
      </c>
      <c r="AH57" s="455" t="s">
        <v>741</v>
      </c>
      <c r="AI57" s="456"/>
      <c r="AJ57" s="106">
        <v>2</v>
      </c>
      <c r="AK57" s="106">
        <v>1.9970000000000001</v>
      </c>
      <c r="AL57" s="106">
        <v>200</v>
      </c>
      <c r="AM57" s="106">
        <v>199.7</v>
      </c>
    </row>
    <row r="58" spans="1:40" ht="18.95" customHeight="1" x14ac:dyDescent="0.25">
      <c r="B58" s="484" t="s">
        <v>742</v>
      </c>
      <c r="C58" s="485"/>
      <c r="D58" s="106">
        <v>14.85</v>
      </c>
      <c r="E58" s="106">
        <v>12.474</v>
      </c>
      <c r="F58" s="106">
        <v>1485</v>
      </c>
      <c r="G58" s="106">
        <v>1247.4000000000001</v>
      </c>
      <c r="J58" s="540" t="s">
        <v>784</v>
      </c>
      <c r="K58" s="541"/>
      <c r="L58" s="106">
        <v>2</v>
      </c>
      <c r="M58" s="106">
        <v>1.68</v>
      </c>
      <c r="N58" s="106">
        <v>200</v>
      </c>
      <c r="O58" s="106">
        <v>168</v>
      </c>
      <c r="R58" s="540" t="s">
        <v>784</v>
      </c>
      <c r="S58" s="541"/>
      <c r="T58" s="106">
        <v>2</v>
      </c>
      <c r="U58" s="106">
        <v>1.68</v>
      </c>
      <c r="V58" s="106">
        <v>200</v>
      </c>
      <c r="W58" s="106">
        <v>168</v>
      </c>
      <c r="Z58" s="455" t="s">
        <v>741</v>
      </c>
      <c r="AA58" s="456"/>
      <c r="AB58" s="106">
        <v>3.57</v>
      </c>
      <c r="AC58" s="106">
        <v>3.5649999999999999</v>
      </c>
      <c r="AD58" s="106">
        <v>357</v>
      </c>
      <c r="AE58" s="106">
        <v>356.5</v>
      </c>
      <c r="AH58" s="455" t="s">
        <v>476</v>
      </c>
      <c r="AI58" s="456"/>
      <c r="AJ58" s="106">
        <v>0.7</v>
      </c>
      <c r="AK58" s="106">
        <v>0.67600000000000005</v>
      </c>
      <c r="AL58" s="106">
        <v>70</v>
      </c>
      <c r="AM58" s="106">
        <v>67.599999999999994</v>
      </c>
    </row>
    <row r="59" spans="1:40" ht="18.95" customHeight="1" x14ac:dyDescent="0.25">
      <c r="B59" s="488" t="s">
        <v>761</v>
      </c>
      <c r="C59" s="489"/>
      <c r="D59" s="106">
        <v>1.9</v>
      </c>
      <c r="E59" s="106">
        <v>0.51300000000000001</v>
      </c>
      <c r="F59" s="106">
        <v>190</v>
      </c>
      <c r="G59" s="106">
        <v>51.3</v>
      </c>
      <c r="J59" s="455" t="s">
        <v>476</v>
      </c>
      <c r="K59" s="456"/>
      <c r="L59" s="106">
        <v>0.6</v>
      </c>
      <c r="M59" s="106">
        <v>0.57899999999999996</v>
      </c>
      <c r="N59" s="106">
        <v>60</v>
      </c>
      <c r="O59" s="106">
        <v>57.9</v>
      </c>
      <c r="R59" s="455" t="s">
        <v>476</v>
      </c>
      <c r="S59" s="456"/>
      <c r="T59" s="106">
        <v>0.6</v>
      </c>
      <c r="U59" s="106">
        <v>0.57899999999999996</v>
      </c>
      <c r="V59" s="106">
        <v>60</v>
      </c>
      <c r="W59" s="106">
        <v>57.9</v>
      </c>
      <c r="Z59" s="455" t="s">
        <v>742</v>
      </c>
      <c r="AA59" s="456"/>
      <c r="AB59" s="106">
        <v>3.21</v>
      </c>
      <c r="AC59" s="106">
        <v>2.6960000000000002</v>
      </c>
      <c r="AD59" s="106">
        <v>321</v>
      </c>
      <c r="AE59" s="106">
        <v>269.60000000000002</v>
      </c>
      <c r="AH59" s="463" t="s">
        <v>794</v>
      </c>
      <c r="AI59" s="464"/>
      <c r="AJ59" s="106">
        <v>3.4</v>
      </c>
      <c r="AK59" s="106">
        <v>0.34</v>
      </c>
      <c r="AL59" s="106">
        <v>340</v>
      </c>
      <c r="AM59" s="106">
        <v>34</v>
      </c>
    </row>
    <row r="60" spans="1:40" ht="18.95" customHeight="1" x14ac:dyDescent="0.25">
      <c r="B60" s="455" t="s">
        <v>476</v>
      </c>
      <c r="C60" s="456"/>
      <c r="D60" s="106">
        <v>0.6</v>
      </c>
      <c r="E60" s="106">
        <v>0.57899999999999996</v>
      </c>
      <c r="F60" s="106">
        <v>60</v>
      </c>
      <c r="G60" s="106">
        <v>57.9</v>
      </c>
      <c r="J60" s="455" t="s">
        <v>762</v>
      </c>
      <c r="K60" s="456"/>
      <c r="L60" s="106">
        <v>1.5</v>
      </c>
      <c r="M60" s="106">
        <v>0.375</v>
      </c>
      <c r="N60" s="106">
        <v>150</v>
      </c>
      <c r="O60" s="106">
        <v>37.5</v>
      </c>
      <c r="R60" s="455" t="s">
        <v>762</v>
      </c>
      <c r="S60" s="456"/>
      <c r="T60" s="106">
        <v>1.5</v>
      </c>
      <c r="U60" s="106">
        <v>0.375</v>
      </c>
      <c r="V60" s="106">
        <v>150</v>
      </c>
      <c r="W60" s="106">
        <v>37.5</v>
      </c>
      <c r="Z60" s="455" t="s">
        <v>791</v>
      </c>
      <c r="AA60" s="456"/>
      <c r="AB60" s="106">
        <v>1.07</v>
      </c>
      <c r="AC60" s="106">
        <v>0.28899999999999998</v>
      </c>
      <c r="AD60" s="106">
        <v>107</v>
      </c>
      <c r="AE60" s="106">
        <v>28.9</v>
      </c>
      <c r="AH60" s="455" t="s">
        <v>742</v>
      </c>
      <c r="AI60" s="456"/>
      <c r="AJ60" s="106">
        <v>1.3</v>
      </c>
      <c r="AK60" s="106">
        <v>1.0920000000000001</v>
      </c>
      <c r="AL60" s="106">
        <v>130</v>
      </c>
      <c r="AM60" s="106">
        <v>109.2</v>
      </c>
    </row>
    <row r="61" spans="1:40" ht="18.95" customHeight="1" x14ac:dyDescent="0.25">
      <c r="B61" s="455" t="s">
        <v>762</v>
      </c>
      <c r="C61" s="456"/>
      <c r="D61" s="106">
        <v>1.7</v>
      </c>
      <c r="E61" s="106">
        <v>0.42499999999999999</v>
      </c>
      <c r="F61" s="106">
        <v>170</v>
      </c>
      <c r="G61" s="106">
        <v>42.5</v>
      </c>
      <c r="J61" s="455" t="s">
        <v>763</v>
      </c>
      <c r="K61" s="456"/>
      <c r="L61" s="106">
        <v>96.14</v>
      </c>
      <c r="M61" s="106">
        <v>82.825000000000003</v>
      </c>
      <c r="N61" s="106">
        <v>9614</v>
      </c>
      <c r="O61" s="106">
        <v>8282.5</v>
      </c>
      <c r="R61" s="455" t="s">
        <v>721</v>
      </c>
      <c r="S61" s="456"/>
      <c r="T61" s="106">
        <v>8</v>
      </c>
      <c r="U61" s="106">
        <v>5.92</v>
      </c>
      <c r="V61" s="106">
        <v>800</v>
      </c>
      <c r="W61" s="106">
        <v>592</v>
      </c>
      <c r="Z61" s="455" t="s">
        <v>330</v>
      </c>
      <c r="AA61" s="456"/>
      <c r="AB61" s="106">
        <v>1.79</v>
      </c>
      <c r="AC61" s="106">
        <v>1.4319999999999999</v>
      </c>
      <c r="AD61" s="106">
        <v>179</v>
      </c>
      <c r="AE61" s="106">
        <v>143.19999999999999</v>
      </c>
      <c r="AH61" s="455" t="s">
        <v>795</v>
      </c>
      <c r="AI61" s="456"/>
      <c r="AJ61" s="106">
        <v>0.95</v>
      </c>
      <c r="AK61" s="106">
        <v>0.25700000000000001</v>
      </c>
      <c r="AL61" s="106">
        <v>95</v>
      </c>
      <c r="AM61" s="106">
        <v>25.7</v>
      </c>
    </row>
    <row r="62" spans="1:40" ht="18.95" customHeight="1" x14ac:dyDescent="0.25">
      <c r="B62" s="455" t="s">
        <v>763</v>
      </c>
      <c r="C62" s="456"/>
      <c r="D62" s="106">
        <v>100.8</v>
      </c>
      <c r="E62" s="106">
        <v>85.924999999999997</v>
      </c>
      <c r="F62" s="106">
        <v>10080</v>
      </c>
      <c r="G62" s="106">
        <v>8592.5</v>
      </c>
      <c r="J62" s="455" t="s">
        <v>484</v>
      </c>
      <c r="K62" s="456"/>
      <c r="L62" s="106">
        <v>30.5</v>
      </c>
      <c r="M62" s="106"/>
      <c r="N62" s="106">
        <v>3050</v>
      </c>
      <c r="O62" s="106"/>
      <c r="R62" s="455" t="s">
        <v>763</v>
      </c>
      <c r="S62" s="456"/>
      <c r="T62" s="106">
        <v>10.215999999999999</v>
      </c>
      <c r="U62" s="106">
        <v>87.052999999999997</v>
      </c>
      <c r="V62" s="106">
        <v>10216</v>
      </c>
      <c r="W62" s="106">
        <v>8705.2999999999993</v>
      </c>
      <c r="Z62" s="455" t="s">
        <v>763</v>
      </c>
      <c r="AA62" s="456"/>
      <c r="AB62" s="106">
        <v>46.78</v>
      </c>
      <c r="AC62" s="106">
        <v>39.128999999999998</v>
      </c>
      <c r="AD62" s="106">
        <v>4678</v>
      </c>
      <c r="AE62" s="106">
        <v>3912.9</v>
      </c>
      <c r="AH62" s="455" t="s">
        <v>763</v>
      </c>
      <c r="AI62" s="456"/>
      <c r="AJ62" s="106">
        <v>54.15</v>
      </c>
      <c r="AK62" s="106">
        <v>42.734999999999999</v>
      </c>
      <c r="AL62" s="106">
        <v>5415</v>
      </c>
      <c r="AM62" s="106">
        <v>4273.5</v>
      </c>
    </row>
    <row r="63" spans="1:40" ht="18.95" customHeight="1" x14ac:dyDescent="0.25">
      <c r="B63" s="455" t="s">
        <v>484</v>
      </c>
      <c r="C63" s="456"/>
      <c r="D63" s="106">
        <v>28.5</v>
      </c>
      <c r="E63" s="106">
        <v>28.5</v>
      </c>
      <c r="F63" s="106">
        <v>2850</v>
      </c>
      <c r="G63" s="106">
        <v>2850</v>
      </c>
      <c r="J63" s="455" t="s">
        <v>416</v>
      </c>
      <c r="K63" s="456"/>
      <c r="L63" s="106">
        <v>118</v>
      </c>
      <c r="M63" s="106">
        <v>74.34</v>
      </c>
      <c r="N63" s="106">
        <v>11800</v>
      </c>
      <c r="O63" s="106">
        <v>7434</v>
      </c>
      <c r="R63" s="455" t="s">
        <v>484</v>
      </c>
      <c r="S63" s="456"/>
      <c r="T63" s="106">
        <v>30.5</v>
      </c>
      <c r="U63" s="106"/>
      <c r="V63" s="106">
        <v>3050</v>
      </c>
      <c r="W63" s="106"/>
      <c r="Z63" s="455" t="s">
        <v>484</v>
      </c>
      <c r="AA63" s="456"/>
      <c r="AB63" s="106">
        <v>14.3</v>
      </c>
      <c r="AC63" s="106"/>
      <c r="AD63" s="106">
        <v>1430</v>
      </c>
      <c r="AE63" s="106"/>
      <c r="AH63" s="455" t="s">
        <v>484</v>
      </c>
      <c r="AI63" s="456"/>
      <c r="AJ63" s="106">
        <v>18</v>
      </c>
      <c r="AK63" s="106"/>
      <c r="AL63" s="106">
        <v>1800</v>
      </c>
      <c r="AM63" s="106"/>
    </row>
    <row r="64" spans="1:40" ht="18.95" customHeight="1" x14ac:dyDescent="0.25">
      <c r="B64" s="455" t="s">
        <v>416</v>
      </c>
      <c r="C64" s="456"/>
      <c r="D64" s="106"/>
      <c r="E64" s="106">
        <v>120.8</v>
      </c>
      <c r="F64" s="106"/>
      <c r="G64" s="106">
        <v>12080</v>
      </c>
      <c r="J64" s="457" t="s">
        <v>180</v>
      </c>
      <c r="K64" s="458"/>
      <c r="L64" s="118" t="s">
        <v>785</v>
      </c>
      <c r="M64" s="106">
        <v>65</v>
      </c>
      <c r="N64" s="106">
        <v>10000</v>
      </c>
      <c r="O64" s="182">
        <v>6500</v>
      </c>
      <c r="R64" s="455" t="s">
        <v>416</v>
      </c>
      <c r="S64" s="456"/>
      <c r="T64" s="106">
        <v>118</v>
      </c>
      <c r="U64" s="106">
        <v>74.34</v>
      </c>
      <c r="V64" s="106">
        <v>11800</v>
      </c>
      <c r="W64" s="106">
        <v>7434</v>
      </c>
      <c r="Z64" s="455" t="s">
        <v>416</v>
      </c>
      <c r="AA64" s="456"/>
      <c r="AB64" s="106">
        <v>58.5</v>
      </c>
      <c r="AC64" s="106"/>
      <c r="AD64" s="106">
        <v>5850</v>
      </c>
      <c r="AE64" s="106"/>
      <c r="AH64" s="455" t="s">
        <v>416</v>
      </c>
      <c r="AI64" s="456"/>
      <c r="AJ64" s="106">
        <v>68</v>
      </c>
      <c r="AK64" s="106"/>
      <c r="AL64" s="106">
        <v>6800</v>
      </c>
      <c r="AM64" s="106"/>
    </row>
    <row r="65" spans="1:40" ht="18.95" customHeight="1" x14ac:dyDescent="0.25">
      <c r="B65" s="457" t="s">
        <v>180</v>
      </c>
      <c r="C65" s="458"/>
      <c r="D65" s="118"/>
      <c r="E65" s="106">
        <v>100</v>
      </c>
      <c r="F65" s="106"/>
      <c r="G65" s="182">
        <v>10000</v>
      </c>
      <c r="R65" s="457" t="s">
        <v>180</v>
      </c>
      <c r="S65" s="458"/>
      <c r="T65" s="118" t="s">
        <v>785</v>
      </c>
      <c r="U65" s="106">
        <v>65</v>
      </c>
      <c r="V65" s="106">
        <v>10000</v>
      </c>
      <c r="W65" s="106">
        <v>6500</v>
      </c>
      <c r="Z65" s="457" t="s">
        <v>180</v>
      </c>
      <c r="AA65" s="458"/>
      <c r="AB65" s="118" t="s">
        <v>779</v>
      </c>
      <c r="AC65" s="106">
        <v>32.5</v>
      </c>
      <c r="AD65" s="106">
        <v>50000</v>
      </c>
      <c r="AE65" s="182">
        <v>3250</v>
      </c>
      <c r="AH65" s="457" t="s">
        <v>180</v>
      </c>
      <c r="AI65" s="458"/>
      <c r="AJ65" s="118" t="s">
        <v>796</v>
      </c>
      <c r="AK65" s="106">
        <v>37.200000000000003</v>
      </c>
      <c r="AL65" s="106">
        <v>6000</v>
      </c>
      <c r="AM65" s="182">
        <v>3720</v>
      </c>
    </row>
    <row r="66" spans="1:40" ht="18.95" customHeight="1" x14ac:dyDescent="0.25">
      <c r="I66" s="459" t="s">
        <v>712</v>
      </c>
      <c r="J66" s="459"/>
      <c r="K66" s="459"/>
      <c r="L66" s="459"/>
      <c r="M66" s="459"/>
      <c r="N66" s="459"/>
      <c r="O66" s="459"/>
      <c r="P66" s="459"/>
    </row>
    <row r="67" spans="1:40" ht="18.95" customHeight="1" x14ac:dyDescent="0.25">
      <c r="A67" s="460" t="s">
        <v>181</v>
      </c>
      <c r="B67" s="459"/>
      <c r="C67" s="459"/>
      <c r="D67" s="459"/>
      <c r="E67" s="459"/>
      <c r="F67" s="459"/>
      <c r="G67" s="459"/>
      <c r="H67" s="461"/>
      <c r="I67" s="158" t="s">
        <v>182</v>
      </c>
      <c r="J67" s="158" t="s">
        <v>106</v>
      </c>
      <c r="K67" s="115" t="s">
        <v>107</v>
      </c>
      <c r="L67" s="116" t="s">
        <v>187</v>
      </c>
      <c r="M67" s="158" t="s">
        <v>183</v>
      </c>
      <c r="N67" s="158" t="s">
        <v>184</v>
      </c>
      <c r="O67" s="158" t="s">
        <v>185</v>
      </c>
      <c r="P67" s="158" t="s">
        <v>186</v>
      </c>
      <c r="Q67" s="460" t="s">
        <v>181</v>
      </c>
      <c r="R67" s="459"/>
      <c r="S67" s="459"/>
      <c r="T67" s="459"/>
      <c r="U67" s="459"/>
      <c r="V67" s="459"/>
      <c r="W67" s="459"/>
      <c r="X67" s="459"/>
      <c r="Y67" s="459" t="s">
        <v>181</v>
      </c>
      <c r="Z67" s="459"/>
      <c r="AA67" s="459"/>
      <c r="AB67" s="459"/>
      <c r="AC67" s="459"/>
      <c r="AD67" s="459"/>
      <c r="AE67" s="459"/>
      <c r="AF67" s="459"/>
      <c r="AG67" s="459" t="s">
        <v>181</v>
      </c>
      <c r="AH67" s="459"/>
      <c r="AI67" s="459"/>
      <c r="AJ67" s="459"/>
      <c r="AK67" s="459"/>
      <c r="AL67" s="459"/>
      <c r="AM67" s="459"/>
      <c r="AN67" s="459"/>
    </row>
    <row r="68" spans="1:40" ht="18.95" customHeight="1" x14ac:dyDescent="0.25">
      <c r="A68" s="158" t="s">
        <v>182</v>
      </c>
      <c r="B68" s="158" t="s">
        <v>106</v>
      </c>
      <c r="C68" s="115" t="s">
        <v>107</v>
      </c>
      <c r="D68" s="116" t="s">
        <v>187</v>
      </c>
      <c r="E68" s="158" t="s">
        <v>183</v>
      </c>
      <c r="F68" s="158" t="s">
        <v>184</v>
      </c>
      <c r="G68" s="158" t="s">
        <v>185</v>
      </c>
      <c r="H68" s="158" t="s">
        <v>186</v>
      </c>
      <c r="I68" s="41">
        <f>выпечка!E23</f>
        <v>5.085</v>
      </c>
      <c r="J68" s="41">
        <f>выпечка!F23</f>
        <v>10.47</v>
      </c>
      <c r="K68" s="41">
        <f>выпечка!G23</f>
        <v>31.605</v>
      </c>
      <c r="L68" s="41">
        <f>выпечка!H23</f>
        <v>240.75</v>
      </c>
      <c r="M68" s="41">
        <f>выпечка!M23</f>
        <v>13.95</v>
      </c>
      <c r="N68" s="41">
        <f>выпечка!O23</f>
        <v>19.649999999999999</v>
      </c>
      <c r="O68" s="41">
        <f>выпечка!P23</f>
        <v>0.9</v>
      </c>
      <c r="P68" s="41">
        <f>выпечка!J23</f>
        <v>0</v>
      </c>
      <c r="Q68" s="158" t="s">
        <v>182</v>
      </c>
      <c r="R68" s="158" t="s">
        <v>106</v>
      </c>
      <c r="S68" s="115" t="s">
        <v>107</v>
      </c>
      <c r="T68" s="116" t="s">
        <v>187</v>
      </c>
      <c r="U68" s="158" t="s">
        <v>183</v>
      </c>
      <c r="V68" s="158" t="s">
        <v>184</v>
      </c>
      <c r="W68" s="158" t="s">
        <v>185</v>
      </c>
      <c r="X68" s="158" t="s">
        <v>186</v>
      </c>
      <c r="Y68" s="158" t="s">
        <v>182</v>
      </c>
      <c r="Z68" s="158" t="s">
        <v>106</v>
      </c>
      <c r="AA68" s="115" t="s">
        <v>107</v>
      </c>
      <c r="AB68" s="116" t="s">
        <v>187</v>
      </c>
      <c r="AC68" s="158" t="s">
        <v>183</v>
      </c>
      <c r="AD68" s="158" t="s">
        <v>184</v>
      </c>
      <c r="AE68" s="158" t="s">
        <v>185</v>
      </c>
      <c r="AF68" s="158" t="s">
        <v>186</v>
      </c>
      <c r="AG68" s="158" t="s">
        <v>182</v>
      </c>
      <c r="AH68" s="158" t="s">
        <v>106</v>
      </c>
      <c r="AI68" s="115" t="s">
        <v>107</v>
      </c>
      <c r="AJ68" s="116" t="s">
        <v>187</v>
      </c>
      <c r="AK68" s="158" t="s">
        <v>183</v>
      </c>
      <c r="AL68" s="158" t="s">
        <v>184</v>
      </c>
      <c r="AM68" s="158" t="s">
        <v>185</v>
      </c>
      <c r="AN68" s="158" t="s">
        <v>186</v>
      </c>
    </row>
    <row r="69" spans="1:40" ht="18.95" customHeight="1" x14ac:dyDescent="0.25">
      <c r="A69" s="41">
        <f>выпечка!E21</f>
        <v>5.46</v>
      </c>
      <c r="B69" s="41">
        <f>выпечка!F21</f>
        <v>9.39</v>
      </c>
      <c r="C69" s="41">
        <f>выпечка!G21</f>
        <v>32.94</v>
      </c>
      <c r="D69" s="41">
        <f>выпечка!H21</f>
        <v>238.5</v>
      </c>
      <c r="E69" s="41">
        <f>выпечка!M21</f>
        <v>14.85</v>
      </c>
      <c r="F69" s="41">
        <f>выпечка!O21</f>
        <v>20.55</v>
      </c>
      <c r="G69" s="41">
        <f>выпечка!P21</f>
        <v>0.97499999999999998</v>
      </c>
      <c r="H69" s="41">
        <f>выпечка!J21</f>
        <v>0</v>
      </c>
      <c r="Q69" s="41">
        <f>выпечка!E25</f>
        <v>4.95</v>
      </c>
      <c r="R69" s="41">
        <f>выпечка!F25</f>
        <v>10.77</v>
      </c>
      <c r="S69" s="41">
        <f>выпечка!G25</f>
        <v>30.8475</v>
      </c>
      <c r="T69" s="41">
        <f>выпечка!H25</f>
        <v>240</v>
      </c>
      <c r="U69" s="41">
        <f>выпечка!M25</f>
        <v>15.975</v>
      </c>
      <c r="V69" s="41">
        <f>выпечка!O25</f>
        <v>21.15</v>
      </c>
      <c r="W69" s="41">
        <f>выпечка!P25</f>
        <v>1.0424999999999998</v>
      </c>
      <c r="X69" s="41">
        <f>выпечка!J25</f>
        <v>0.03</v>
      </c>
      <c r="Y69" s="41">
        <f>выпечка!E27</f>
        <v>3.9</v>
      </c>
      <c r="Z69" s="41">
        <f>выпечка!F27</f>
        <v>3.06</v>
      </c>
      <c r="AA69" s="41">
        <f>выпечка!G27</f>
        <v>23.9</v>
      </c>
      <c r="AB69" s="41">
        <f>выпечка!H27</f>
        <v>139</v>
      </c>
      <c r="AC69" s="41">
        <f>выпечка!M27</f>
        <v>11.3</v>
      </c>
      <c r="AD69" s="41">
        <f>выпечка!O27</f>
        <v>15.2</v>
      </c>
      <c r="AE69" s="41">
        <f>выпечка!P27</f>
        <v>0.73</v>
      </c>
      <c r="AF69" s="41">
        <f>выпечка!J27</f>
        <v>0</v>
      </c>
      <c r="AG69" s="41">
        <f>выпечка!E29</f>
        <v>4.8</v>
      </c>
      <c r="AH69" s="41">
        <f>выпечка!F29</f>
        <v>1.68</v>
      </c>
      <c r="AI69" s="41">
        <f>выпечка!G29</f>
        <v>28.16</v>
      </c>
      <c r="AJ69" s="41">
        <f>выпечка!H29</f>
        <v>147</v>
      </c>
      <c r="AK69" s="41">
        <f>выпечка!M29</f>
        <v>13.9</v>
      </c>
      <c r="AL69" s="41">
        <f>выпечка!O29</f>
        <v>18.7</v>
      </c>
      <c r="AM69" s="41">
        <f>выпечка!P29</f>
        <v>0.88</v>
      </c>
      <c r="AN69" s="41">
        <f>выпечка!J29</f>
        <v>0.17</v>
      </c>
    </row>
    <row r="70" spans="1:40" ht="18.95" customHeight="1" x14ac:dyDescent="0.25">
      <c r="I70" s="462" t="s">
        <v>786</v>
      </c>
      <c r="J70" s="462"/>
      <c r="K70" s="462"/>
      <c r="L70" s="462"/>
      <c r="M70" s="462"/>
      <c r="N70" s="462"/>
      <c r="O70" s="462"/>
      <c r="P70" s="462"/>
    </row>
    <row r="71" spans="1:40" ht="18.95" customHeight="1" x14ac:dyDescent="0.25">
      <c r="A71" s="462" t="s">
        <v>764</v>
      </c>
      <c r="B71" s="462"/>
      <c r="C71" s="462"/>
      <c r="D71" s="462"/>
      <c r="E71" s="462"/>
      <c r="F71" s="462"/>
      <c r="G71" s="462"/>
      <c r="H71" s="462"/>
      <c r="I71" s="462"/>
      <c r="J71" s="462"/>
      <c r="K71" s="462"/>
      <c r="L71" s="462"/>
      <c r="M71" s="462"/>
      <c r="N71" s="462"/>
      <c r="O71" s="462"/>
      <c r="P71" s="462"/>
      <c r="Q71" s="462" t="s">
        <v>788</v>
      </c>
      <c r="R71" s="462"/>
      <c r="S71" s="462"/>
      <c r="T71" s="462"/>
      <c r="U71" s="462"/>
      <c r="V71" s="462"/>
      <c r="W71" s="462"/>
      <c r="X71" s="462"/>
      <c r="Y71" s="462" t="s">
        <v>792</v>
      </c>
      <c r="Z71" s="462"/>
      <c r="AA71" s="462"/>
      <c r="AB71" s="462"/>
      <c r="AC71" s="462"/>
      <c r="AD71" s="462"/>
      <c r="AE71" s="462"/>
      <c r="AF71" s="462"/>
      <c r="AG71" s="462" t="s">
        <v>797</v>
      </c>
      <c r="AH71" s="462"/>
      <c r="AI71" s="462"/>
      <c r="AJ71" s="462"/>
      <c r="AK71" s="462"/>
      <c r="AL71" s="462"/>
      <c r="AM71" s="462"/>
      <c r="AN71" s="462"/>
    </row>
    <row r="72" spans="1:40" ht="18.95" customHeight="1" x14ac:dyDescent="0.25">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row>
    <row r="73" spans="1:40" ht="18.95" customHeight="1" x14ac:dyDescent="0.25">
      <c r="A73" s="119"/>
      <c r="B73" s="119"/>
      <c r="C73" s="119"/>
      <c r="D73" s="119"/>
      <c r="E73" s="119"/>
      <c r="F73" s="119"/>
      <c r="G73" s="119"/>
      <c r="H73" s="119"/>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row>
    <row r="74" spans="1:40" ht="18.95" customHeight="1" x14ac:dyDescent="0.25">
      <c r="A74" s="454" t="s">
        <v>232</v>
      </c>
      <c r="B74" s="454"/>
      <c r="C74" s="454"/>
      <c r="D74" s="119"/>
      <c r="E74" s="119"/>
      <c r="F74" s="119"/>
      <c r="G74" s="119"/>
      <c r="H74" s="119"/>
      <c r="I74" s="153"/>
      <c r="J74" s="153"/>
      <c r="K74" s="153"/>
      <c r="L74" s="153"/>
      <c r="M74" s="153"/>
      <c r="N74" s="153"/>
      <c r="O74" s="153"/>
      <c r="P74" s="153"/>
      <c r="Q74" s="462"/>
      <c r="R74" s="462"/>
      <c r="S74" s="462"/>
      <c r="T74" s="462"/>
      <c r="U74" s="462"/>
      <c r="V74" s="462"/>
      <c r="W74" s="462"/>
      <c r="X74" s="462"/>
      <c r="Y74" s="153"/>
      <c r="Z74" s="153"/>
      <c r="AA74" s="153"/>
      <c r="AB74" s="153"/>
      <c r="AC74" s="153"/>
      <c r="AD74" s="153"/>
      <c r="AE74" s="153"/>
      <c r="AF74" s="153"/>
      <c r="AG74" s="462"/>
      <c r="AH74" s="462"/>
      <c r="AI74" s="462"/>
      <c r="AJ74" s="462"/>
      <c r="AK74" s="462"/>
      <c r="AL74" s="462"/>
      <c r="AM74" s="462"/>
      <c r="AN74" s="462"/>
    </row>
    <row r="75" spans="1:40" ht="18.95" customHeight="1" x14ac:dyDescent="0.25">
      <c r="A75" s="119"/>
      <c r="B75" s="119"/>
      <c r="C75" s="119"/>
      <c r="D75" s="119"/>
      <c r="E75" s="119"/>
      <c r="F75" s="119"/>
      <c r="G75" s="119"/>
      <c r="H75" s="119"/>
      <c r="I75" s="454" t="s">
        <v>232</v>
      </c>
      <c r="J75" s="454"/>
      <c r="K75" s="454"/>
      <c r="L75" s="153"/>
      <c r="M75" s="153"/>
      <c r="N75" s="153"/>
      <c r="O75" s="153"/>
      <c r="P75" s="153"/>
      <c r="Y75" s="542" t="s">
        <v>232</v>
      </c>
      <c r="Z75" s="542"/>
      <c r="AA75" s="542"/>
      <c r="AB75" s="153"/>
      <c r="AC75" s="153"/>
      <c r="AD75" s="153"/>
      <c r="AE75" s="153"/>
      <c r="AF75" s="153"/>
      <c r="AG75" s="153"/>
      <c r="AH75" s="153"/>
      <c r="AI75" s="153"/>
      <c r="AJ75" s="153"/>
      <c r="AK75" s="153"/>
      <c r="AL75" s="153"/>
      <c r="AM75" s="153"/>
      <c r="AN75" s="153"/>
    </row>
    <row r="76" spans="1:40" ht="18.95" customHeight="1" x14ac:dyDescent="0.25">
      <c r="I76" s="153"/>
      <c r="J76" s="153"/>
      <c r="K76" s="153"/>
      <c r="L76" s="153"/>
      <c r="M76" s="153"/>
      <c r="N76" s="153"/>
      <c r="O76" s="153"/>
      <c r="P76" s="153"/>
      <c r="Q76" s="542" t="s">
        <v>232</v>
      </c>
      <c r="R76" s="542"/>
      <c r="S76" s="542"/>
      <c r="Y76" s="153"/>
      <c r="Z76" s="153"/>
      <c r="AA76" s="153"/>
      <c r="AB76" s="153"/>
      <c r="AC76" s="153"/>
      <c r="AD76" s="153"/>
      <c r="AE76" s="153"/>
      <c r="AF76" s="153"/>
      <c r="AG76" s="542" t="s">
        <v>232</v>
      </c>
      <c r="AH76" s="542"/>
      <c r="AI76" s="542"/>
    </row>
    <row r="77" spans="1:40" ht="18.95" customHeight="1" x14ac:dyDescent="0.25">
      <c r="I77" s="153"/>
      <c r="J77" s="153"/>
      <c r="K77" s="153"/>
      <c r="L77" s="153"/>
      <c r="M77" s="153"/>
      <c r="N77" s="153"/>
      <c r="O77" s="153"/>
      <c r="P77" s="153"/>
      <c r="Y77" s="153"/>
      <c r="Z77" s="153"/>
      <c r="AA77" s="153"/>
      <c r="AB77" s="153"/>
      <c r="AC77" s="153"/>
      <c r="AD77" s="153"/>
      <c r="AE77" s="153"/>
      <c r="AF77" s="153"/>
    </row>
    <row r="78" spans="1:40" ht="18.95" customHeight="1" x14ac:dyDescent="0.25">
      <c r="Y78" s="153"/>
      <c r="Z78" s="153"/>
      <c r="AA78" s="153"/>
      <c r="AB78" s="153"/>
      <c r="AC78" s="153"/>
      <c r="AD78" s="153"/>
      <c r="AE78" s="153"/>
      <c r="AF78" s="153"/>
      <c r="AH78" s="125" t="s">
        <v>790</v>
      </c>
    </row>
    <row r="79" spans="1:40" ht="18.95" customHeight="1" x14ac:dyDescent="0.25">
      <c r="I79" s="161"/>
      <c r="J79" s="161"/>
      <c r="K79" s="161"/>
    </row>
    <row r="80" spans="1:40" ht="18.95" customHeight="1" x14ac:dyDescent="0.25">
      <c r="Y80" s="161"/>
      <c r="Z80" s="161"/>
      <c r="AA80" s="161"/>
    </row>
    <row r="81" spans="1:40" ht="18.95" customHeight="1" x14ac:dyDescent="0.25"/>
    <row r="82" spans="1:40" ht="18.95" customHeight="1" x14ac:dyDescent="0.25"/>
    <row r="83" spans="1:40" x14ac:dyDescent="0.25">
      <c r="A83" s="454" t="s">
        <v>214</v>
      </c>
      <c r="B83" s="454"/>
      <c r="F83" s="454" t="s">
        <v>215</v>
      </c>
      <c r="G83" s="454"/>
      <c r="H83" s="454"/>
      <c r="I83" s="472" t="s">
        <v>214</v>
      </c>
      <c r="J83" s="472"/>
      <c r="K83" s="167"/>
      <c r="L83" s="167"/>
      <c r="M83" s="167"/>
      <c r="N83" s="472" t="s">
        <v>215</v>
      </c>
      <c r="O83" s="472"/>
      <c r="P83" s="472"/>
      <c r="Q83" s="472" t="s">
        <v>214</v>
      </c>
      <c r="R83" s="472"/>
      <c r="S83" s="167"/>
      <c r="T83" s="167"/>
      <c r="U83" s="167"/>
      <c r="V83" s="472" t="s">
        <v>215</v>
      </c>
      <c r="W83" s="472"/>
      <c r="X83" s="472"/>
      <c r="Y83" s="454" t="s">
        <v>214</v>
      </c>
      <c r="Z83" s="454"/>
      <c r="AD83" s="454" t="s">
        <v>215</v>
      </c>
      <c r="AE83" s="454"/>
      <c r="AF83" s="454"/>
      <c r="AG83" s="454" t="s">
        <v>214</v>
      </c>
      <c r="AH83" s="454"/>
      <c r="AL83" s="454" t="s">
        <v>215</v>
      </c>
      <c r="AM83" s="454"/>
      <c r="AN83" s="454"/>
    </row>
    <row r="84" spans="1:40" x14ac:dyDescent="0.25">
      <c r="E84" s="454" t="s">
        <v>216</v>
      </c>
      <c r="F84" s="454"/>
      <c r="G84" s="454"/>
      <c r="H84" s="454"/>
      <c r="M84" s="454" t="s">
        <v>216</v>
      </c>
      <c r="N84" s="454"/>
      <c r="O84" s="454"/>
      <c r="P84" s="454"/>
      <c r="U84" s="454" t="s">
        <v>216</v>
      </c>
      <c r="V84" s="454"/>
      <c r="W84" s="454"/>
      <c r="X84" s="454"/>
      <c r="AC84" s="454" t="s">
        <v>216</v>
      </c>
      <c r="AD84" s="454"/>
      <c r="AE84" s="454"/>
      <c r="AF84" s="454"/>
      <c r="AK84" s="454" t="s">
        <v>216</v>
      </c>
      <c r="AL84" s="454"/>
      <c r="AM84" s="454"/>
      <c r="AN84" s="454"/>
    </row>
    <row r="85" spans="1:40" x14ac:dyDescent="0.25">
      <c r="E85" s="161"/>
      <c r="F85" s="161"/>
      <c r="G85" s="161"/>
      <c r="H85" s="161"/>
      <c r="M85" s="161"/>
      <c r="N85" s="161"/>
      <c r="O85" s="161"/>
      <c r="P85" s="161"/>
      <c r="U85" s="161"/>
      <c r="V85" s="161"/>
      <c r="W85" s="161"/>
      <c r="X85" s="161"/>
      <c r="AC85" s="161"/>
      <c r="AD85" s="161"/>
      <c r="AE85" s="161"/>
      <c r="AF85" s="161"/>
      <c r="AK85" s="161"/>
      <c r="AL85" s="161"/>
      <c r="AM85" s="161"/>
      <c r="AN85" s="161"/>
    </row>
    <row r="86" spans="1:40" ht="18.95" customHeight="1" x14ac:dyDescent="0.25">
      <c r="A86" s="414" t="s">
        <v>765</v>
      </c>
      <c r="B86" s="414"/>
      <c r="C86" s="414"/>
      <c r="D86" s="414"/>
      <c r="E86" s="414"/>
      <c r="F86" s="414"/>
      <c r="G86" s="414"/>
      <c r="H86" s="414"/>
      <c r="I86" s="414" t="s">
        <v>766</v>
      </c>
      <c r="J86" s="414"/>
      <c r="K86" s="414"/>
      <c r="L86" s="414"/>
      <c r="M86" s="414"/>
      <c r="N86" s="414"/>
      <c r="O86" s="414"/>
      <c r="P86" s="414"/>
      <c r="Q86" s="414" t="s">
        <v>767</v>
      </c>
      <c r="R86" s="414"/>
      <c r="S86" s="414"/>
      <c r="T86" s="414"/>
      <c r="U86" s="414"/>
      <c r="V86" s="414"/>
      <c r="W86" s="414"/>
      <c r="X86" s="414"/>
      <c r="Y86" s="414" t="s">
        <v>768</v>
      </c>
      <c r="Z86" s="414"/>
      <c r="AA86" s="414"/>
      <c r="AB86" s="414"/>
      <c r="AC86" s="414"/>
      <c r="AD86" s="414"/>
      <c r="AE86" s="414"/>
      <c r="AF86" s="414"/>
      <c r="AG86" s="414" t="s">
        <v>769</v>
      </c>
      <c r="AH86" s="414"/>
      <c r="AI86" s="414"/>
      <c r="AJ86" s="414"/>
      <c r="AK86" s="414"/>
      <c r="AL86" s="414"/>
      <c r="AM86" s="414"/>
      <c r="AN86" s="414"/>
    </row>
    <row r="87" spans="1:40" ht="18.95" customHeight="1" x14ac:dyDescent="0.25">
      <c r="A87" s="473" t="s">
        <v>936</v>
      </c>
      <c r="B87" s="465"/>
      <c r="C87" s="465"/>
      <c r="D87" s="465"/>
      <c r="E87" s="465"/>
      <c r="F87" s="465"/>
      <c r="G87" s="465"/>
      <c r="H87" s="465"/>
      <c r="I87" s="473" t="s">
        <v>775</v>
      </c>
      <c r="J87" s="465"/>
      <c r="K87" s="465"/>
      <c r="L87" s="465"/>
      <c r="M87" s="465"/>
      <c r="N87" s="465"/>
      <c r="O87" s="465"/>
      <c r="P87" s="465"/>
      <c r="Q87" s="473" t="s">
        <v>776</v>
      </c>
      <c r="R87" s="465"/>
      <c r="S87" s="465"/>
      <c r="T87" s="465"/>
      <c r="U87" s="465"/>
      <c r="V87" s="465"/>
      <c r="W87" s="465"/>
      <c r="X87" s="465"/>
      <c r="Y87" s="473" t="s">
        <v>777</v>
      </c>
      <c r="Z87" s="465"/>
      <c r="AA87" s="465"/>
      <c r="AB87" s="465"/>
      <c r="AC87" s="465"/>
      <c r="AD87" s="465"/>
      <c r="AE87" s="465"/>
      <c r="AF87" s="465"/>
      <c r="AG87" s="473" t="s">
        <v>778</v>
      </c>
      <c r="AH87" s="465"/>
      <c r="AI87" s="465"/>
      <c r="AJ87" s="465"/>
      <c r="AK87" s="465"/>
      <c r="AL87" s="465"/>
      <c r="AM87" s="465"/>
      <c r="AN87" s="465"/>
    </row>
    <row r="88" spans="1:40" ht="18.95" customHeight="1" x14ac:dyDescent="0.25">
      <c r="A88" s="473" t="s">
        <v>770</v>
      </c>
      <c r="B88" s="473"/>
      <c r="C88" s="473"/>
      <c r="D88" s="473"/>
      <c r="E88" s="473"/>
      <c r="F88" s="473"/>
      <c r="G88" s="473"/>
      <c r="H88" s="473"/>
      <c r="I88" s="473" t="s">
        <v>771</v>
      </c>
      <c r="J88" s="473"/>
      <c r="K88" s="473"/>
      <c r="L88" s="473"/>
      <c r="M88" s="473"/>
      <c r="N88" s="473"/>
      <c r="O88" s="473"/>
      <c r="P88" s="473"/>
      <c r="Q88" s="473" t="s">
        <v>772</v>
      </c>
      <c r="R88" s="473"/>
      <c r="S88" s="473"/>
      <c r="T88" s="473"/>
      <c r="U88" s="473"/>
      <c r="V88" s="473"/>
      <c r="W88" s="473"/>
      <c r="X88" s="473"/>
      <c r="Y88" s="473" t="s">
        <v>773</v>
      </c>
      <c r="Z88" s="473"/>
      <c r="AA88" s="473"/>
      <c r="AB88" s="473"/>
      <c r="AC88" s="473"/>
      <c r="AD88" s="473"/>
      <c r="AE88" s="473"/>
      <c r="AF88" s="473"/>
      <c r="AG88" s="473" t="s">
        <v>774</v>
      </c>
      <c r="AH88" s="473"/>
      <c r="AI88" s="473"/>
      <c r="AJ88" s="473"/>
      <c r="AK88" s="473"/>
      <c r="AL88" s="473"/>
      <c r="AM88" s="473"/>
      <c r="AN88" s="473"/>
    </row>
    <row r="89" spans="1:40" ht="18.95" customHeight="1" x14ac:dyDescent="0.25">
      <c r="A89" s="465" t="s">
        <v>189</v>
      </c>
      <c r="B89" s="465"/>
      <c r="C89" s="465"/>
      <c r="D89" s="465"/>
      <c r="E89" s="465"/>
      <c r="F89" s="465"/>
      <c r="G89" s="465"/>
      <c r="H89" s="465"/>
      <c r="I89" s="465" t="s">
        <v>189</v>
      </c>
      <c r="J89" s="465"/>
      <c r="K89" s="465"/>
      <c r="L89" s="465"/>
      <c r="M89" s="465"/>
      <c r="N89" s="465"/>
      <c r="O89" s="465"/>
      <c r="P89" s="465"/>
      <c r="Q89" s="465" t="s">
        <v>189</v>
      </c>
      <c r="R89" s="465"/>
      <c r="S89" s="465"/>
      <c r="T89" s="465"/>
      <c r="U89" s="465"/>
      <c r="V89" s="465"/>
      <c r="W89" s="465"/>
      <c r="X89" s="465"/>
      <c r="Y89" s="465" t="s">
        <v>189</v>
      </c>
      <c r="Z89" s="465"/>
      <c r="AA89" s="465"/>
      <c r="AB89" s="465"/>
      <c r="AC89" s="465"/>
      <c r="AD89" s="465"/>
      <c r="AE89" s="465"/>
      <c r="AF89" s="465"/>
      <c r="AG89" s="465" t="s">
        <v>189</v>
      </c>
      <c r="AH89" s="465"/>
      <c r="AI89" s="465"/>
      <c r="AJ89" s="465"/>
      <c r="AK89" s="465"/>
      <c r="AL89" s="465"/>
      <c r="AM89" s="465"/>
      <c r="AN89" s="465"/>
    </row>
    <row r="90" spans="1:40" ht="18.95" customHeight="1" x14ac:dyDescent="0.25">
      <c r="A90" s="465" t="s">
        <v>190</v>
      </c>
      <c r="B90" s="465"/>
      <c r="C90" s="465"/>
      <c r="D90" s="465"/>
      <c r="E90" s="465"/>
      <c r="F90" s="465"/>
      <c r="G90" s="465"/>
      <c r="H90" s="465"/>
      <c r="I90" s="465" t="s">
        <v>190</v>
      </c>
      <c r="J90" s="465"/>
      <c r="K90" s="465"/>
      <c r="L90" s="465"/>
      <c r="M90" s="465"/>
      <c r="N90" s="465"/>
      <c r="O90" s="465"/>
      <c r="P90" s="465"/>
      <c r="Q90" s="465" t="s">
        <v>190</v>
      </c>
      <c r="R90" s="465"/>
      <c r="S90" s="465"/>
      <c r="T90" s="465"/>
      <c r="U90" s="465"/>
      <c r="V90" s="465"/>
      <c r="W90" s="465"/>
      <c r="X90" s="465"/>
      <c r="Y90" s="465" t="s">
        <v>190</v>
      </c>
      <c r="Z90" s="465"/>
      <c r="AA90" s="465"/>
      <c r="AB90" s="465"/>
      <c r="AC90" s="465"/>
      <c r="AD90" s="465"/>
      <c r="AE90" s="465"/>
      <c r="AF90" s="465"/>
      <c r="AG90" s="465" t="s">
        <v>190</v>
      </c>
      <c r="AH90" s="465"/>
      <c r="AI90" s="465"/>
      <c r="AJ90" s="465"/>
      <c r="AK90" s="465"/>
      <c r="AL90" s="465"/>
      <c r="AM90" s="465"/>
      <c r="AN90" s="465"/>
    </row>
    <row r="91" spans="1:40" ht="18.95" customHeight="1" x14ac:dyDescent="0.25">
      <c r="C91" s="159"/>
      <c r="K91" s="159"/>
      <c r="S91" s="159"/>
      <c r="AA91" s="159"/>
      <c r="AI91" s="159"/>
    </row>
    <row r="92" spans="1:40" ht="18.95" customHeight="1" x14ac:dyDescent="0.25">
      <c r="B92" s="466" t="s">
        <v>174</v>
      </c>
      <c r="C92" s="467"/>
      <c r="D92" s="412" t="s">
        <v>179</v>
      </c>
      <c r="E92" s="412"/>
      <c r="F92" s="412"/>
      <c r="G92" s="412"/>
      <c r="J92" s="466" t="s">
        <v>174</v>
      </c>
      <c r="K92" s="467"/>
      <c r="L92" s="412" t="s">
        <v>179</v>
      </c>
      <c r="M92" s="412"/>
      <c r="N92" s="412"/>
      <c r="O92" s="412"/>
      <c r="R92" s="466" t="s">
        <v>174</v>
      </c>
      <c r="S92" s="467"/>
      <c r="T92" s="412" t="s">
        <v>179</v>
      </c>
      <c r="U92" s="412"/>
      <c r="V92" s="412"/>
      <c r="W92" s="412"/>
      <c r="Z92" s="466" t="s">
        <v>174</v>
      </c>
      <c r="AA92" s="467"/>
      <c r="AB92" s="412" t="s">
        <v>179</v>
      </c>
      <c r="AC92" s="412"/>
      <c r="AD92" s="412"/>
      <c r="AE92" s="412"/>
      <c r="AH92" s="466" t="s">
        <v>174</v>
      </c>
      <c r="AI92" s="467"/>
      <c r="AJ92" s="412" t="s">
        <v>179</v>
      </c>
      <c r="AK92" s="412"/>
      <c r="AL92" s="412"/>
      <c r="AM92" s="412"/>
    </row>
    <row r="93" spans="1:40" ht="18.95" customHeight="1" x14ac:dyDescent="0.25">
      <c r="B93" s="468"/>
      <c r="C93" s="469"/>
      <c r="D93" s="412" t="s">
        <v>177</v>
      </c>
      <c r="E93" s="412"/>
      <c r="F93" s="412" t="s">
        <v>178</v>
      </c>
      <c r="G93" s="412"/>
      <c r="J93" s="468"/>
      <c r="K93" s="469"/>
      <c r="L93" s="412" t="s">
        <v>177</v>
      </c>
      <c r="M93" s="412"/>
      <c r="N93" s="412" t="s">
        <v>178</v>
      </c>
      <c r="O93" s="412"/>
      <c r="R93" s="468"/>
      <c r="S93" s="469"/>
      <c r="T93" s="412" t="s">
        <v>177</v>
      </c>
      <c r="U93" s="412"/>
      <c r="V93" s="412" t="s">
        <v>178</v>
      </c>
      <c r="W93" s="412"/>
      <c r="Z93" s="468"/>
      <c r="AA93" s="469"/>
      <c r="AB93" s="412" t="s">
        <v>177</v>
      </c>
      <c r="AC93" s="412"/>
      <c r="AD93" s="412" t="s">
        <v>178</v>
      </c>
      <c r="AE93" s="412"/>
      <c r="AH93" s="468"/>
      <c r="AI93" s="469"/>
      <c r="AJ93" s="412" t="s">
        <v>177</v>
      </c>
      <c r="AK93" s="412"/>
      <c r="AL93" s="412" t="s">
        <v>178</v>
      </c>
      <c r="AM93" s="412"/>
    </row>
    <row r="94" spans="1:40" ht="18.95" customHeight="1" x14ac:dyDescent="0.25">
      <c r="B94" s="470"/>
      <c r="C94" s="471"/>
      <c r="D94" s="158" t="s">
        <v>175</v>
      </c>
      <c r="E94" s="158" t="s">
        <v>176</v>
      </c>
      <c r="F94" s="158" t="s">
        <v>175</v>
      </c>
      <c r="G94" s="158" t="s">
        <v>176</v>
      </c>
      <c r="J94" s="470"/>
      <c r="K94" s="471"/>
      <c r="L94" s="158" t="s">
        <v>175</v>
      </c>
      <c r="M94" s="158" t="s">
        <v>176</v>
      </c>
      <c r="N94" s="158" t="s">
        <v>175</v>
      </c>
      <c r="O94" s="158" t="s">
        <v>176</v>
      </c>
      <c r="R94" s="470"/>
      <c r="S94" s="471"/>
      <c r="T94" s="158" t="s">
        <v>175</v>
      </c>
      <c r="U94" s="158" t="s">
        <v>176</v>
      </c>
      <c r="V94" s="158" t="s">
        <v>175</v>
      </c>
      <c r="W94" s="158" t="s">
        <v>176</v>
      </c>
      <c r="Z94" s="470"/>
      <c r="AA94" s="471"/>
      <c r="AB94" s="158" t="s">
        <v>175</v>
      </c>
      <c r="AC94" s="158" t="s">
        <v>176</v>
      </c>
      <c r="AD94" s="158" t="s">
        <v>175</v>
      </c>
      <c r="AE94" s="158" t="s">
        <v>176</v>
      </c>
      <c r="AH94" s="470"/>
      <c r="AI94" s="471"/>
      <c r="AJ94" s="158" t="s">
        <v>175</v>
      </c>
      <c r="AK94" s="158" t="s">
        <v>176</v>
      </c>
      <c r="AL94" s="158" t="s">
        <v>175</v>
      </c>
      <c r="AM94" s="158" t="s">
        <v>176</v>
      </c>
    </row>
    <row r="95" spans="1:40" ht="18.95" customHeight="1" x14ac:dyDescent="0.25">
      <c r="B95" s="463" t="s">
        <v>733</v>
      </c>
      <c r="C95" s="464"/>
      <c r="D95" s="106">
        <v>38.5</v>
      </c>
      <c r="E95" s="106">
        <v>32.909999999999997</v>
      </c>
      <c r="F95" s="106">
        <v>3850</v>
      </c>
      <c r="G95" s="106">
        <v>3291.58</v>
      </c>
      <c r="J95" s="479" t="s">
        <v>781</v>
      </c>
      <c r="K95" s="480"/>
      <c r="L95" s="106">
        <v>23.39</v>
      </c>
      <c r="M95" s="106">
        <v>19.998000000000001</v>
      </c>
      <c r="N95" s="106">
        <v>2339</v>
      </c>
      <c r="O95" s="106">
        <v>1999.8</v>
      </c>
      <c r="R95" s="479" t="s">
        <v>781</v>
      </c>
      <c r="S95" s="480"/>
      <c r="T95" s="106">
        <v>28.86</v>
      </c>
      <c r="U95" s="106">
        <v>24.675000000000001</v>
      </c>
      <c r="V95" s="106">
        <v>2886</v>
      </c>
      <c r="W95" s="106">
        <v>2467.5</v>
      </c>
      <c r="Z95" s="479" t="s">
        <v>781</v>
      </c>
      <c r="AA95" s="480"/>
      <c r="AB95" s="106">
        <v>26</v>
      </c>
      <c r="AC95" s="106">
        <v>22.23</v>
      </c>
      <c r="AD95" s="106">
        <v>2600</v>
      </c>
      <c r="AE95" s="106">
        <v>2223</v>
      </c>
      <c r="AH95" s="463" t="s">
        <v>733</v>
      </c>
      <c r="AI95" s="464"/>
      <c r="AJ95" s="106">
        <v>40</v>
      </c>
      <c r="AK95" s="106">
        <v>34.200000000000003</v>
      </c>
      <c r="AL95" s="106">
        <v>4000</v>
      </c>
      <c r="AM95" s="106">
        <v>3420</v>
      </c>
    </row>
    <row r="96" spans="1:40" ht="18.95" customHeight="1" x14ac:dyDescent="0.25">
      <c r="B96" s="463" t="s">
        <v>740</v>
      </c>
      <c r="C96" s="464"/>
      <c r="D96" s="106">
        <v>1.5</v>
      </c>
      <c r="E96" s="106">
        <v>1.2829999999999999</v>
      </c>
      <c r="F96" s="106">
        <v>150</v>
      </c>
      <c r="G96" s="106">
        <v>128.30000000000001</v>
      </c>
      <c r="J96" s="455" t="s">
        <v>741</v>
      </c>
      <c r="K96" s="456"/>
      <c r="L96" s="106">
        <v>17.55</v>
      </c>
      <c r="M96" s="106">
        <v>17.524000000000001</v>
      </c>
      <c r="N96" s="106">
        <v>1755</v>
      </c>
      <c r="O96" s="106">
        <v>1752.4</v>
      </c>
      <c r="R96" s="455" t="s">
        <v>741</v>
      </c>
      <c r="S96" s="456"/>
      <c r="T96" s="106">
        <v>32.979999999999997</v>
      </c>
      <c r="U96" s="106">
        <v>32.930999999999997</v>
      </c>
      <c r="V96" s="106">
        <v>3298</v>
      </c>
      <c r="W96" s="106">
        <v>3293.1</v>
      </c>
      <c r="Z96" s="455" t="s">
        <v>741</v>
      </c>
      <c r="AA96" s="456"/>
      <c r="AB96" s="106">
        <v>8</v>
      </c>
      <c r="AC96" s="106">
        <v>7.9880000000000004</v>
      </c>
      <c r="AD96" s="106">
        <v>800</v>
      </c>
      <c r="AE96" s="106">
        <v>798.8</v>
      </c>
      <c r="AH96" s="463" t="s">
        <v>740</v>
      </c>
      <c r="AI96" s="464"/>
      <c r="AJ96" s="106">
        <v>2.2999999999999998</v>
      </c>
      <c r="AK96" s="106">
        <v>1.9670000000000001</v>
      </c>
      <c r="AL96" s="106">
        <v>230</v>
      </c>
      <c r="AM96" s="106">
        <v>196.7</v>
      </c>
    </row>
    <row r="97" spans="1:40" ht="18.95" customHeight="1" x14ac:dyDescent="0.25">
      <c r="B97" s="455" t="s">
        <v>762</v>
      </c>
      <c r="C97" s="456"/>
      <c r="D97" s="106">
        <v>4.8</v>
      </c>
      <c r="E97" s="106">
        <v>4.8</v>
      </c>
      <c r="F97" s="106">
        <v>480</v>
      </c>
      <c r="G97" s="106">
        <v>480</v>
      </c>
      <c r="J97" s="455" t="s">
        <v>191</v>
      </c>
      <c r="K97" s="456"/>
      <c r="L97" s="106">
        <v>17.54</v>
      </c>
      <c r="M97" s="106">
        <v>14.734</v>
      </c>
      <c r="N97" s="106">
        <v>1754</v>
      </c>
      <c r="O97" s="106">
        <v>1473.4</v>
      </c>
      <c r="R97" s="455" t="s">
        <v>191</v>
      </c>
      <c r="S97" s="456"/>
      <c r="T97" s="106">
        <v>15.46</v>
      </c>
      <c r="U97" s="106">
        <v>12.986000000000001</v>
      </c>
      <c r="V97" s="106">
        <v>1546</v>
      </c>
      <c r="W97" s="106">
        <v>1298.5999999999999</v>
      </c>
      <c r="Z97" s="455" t="s">
        <v>805</v>
      </c>
      <c r="AA97" s="456"/>
      <c r="AB97" s="106">
        <v>7.5</v>
      </c>
      <c r="AC97" s="106">
        <v>6.3</v>
      </c>
      <c r="AD97" s="106">
        <v>750</v>
      </c>
      <c r="AE97" s="106">
        <v>630</v>
      </c>
      <c r="AH97" s="455" t="s">
        <v>741</v>
      </c>
      <c r="AI97" s="456"/>
      <c r="AJ97" s="106">
        <v>21.15</v>
      </c>
      <c r="AK97" s="106">
        <v>21.117999999999999</v>
      </c>
      <c r="AL97" s="106">
        <v>2115</v>
      </c>
      <c r="AM97" s="106">
        <v>2111.8000000000002</v>
      </c>
    </row>
    <row r="98" spans="1:40" ht="18.95" customHeight="1" x14ac:dyDescent="0.25">
      <c r="B98" s="165" t="s">
        <v>583</v>
      </c>
      <c r="C98" s="166"/>
      <c r="D98" s="106">
        <v>20</v>
      </c>
      <c r="E98" s="106">
        <v>2.4</v>
      </c>
      <c r="F98" s="106">
        <v>2000</v>
      </c>
      <c r="G98" s="106">
        <v>2400</v>
      </c>
      <c r="J98" s="455" t="s">
        <v>743</v>
      </c>
      <c r="K98" s="456"/>
      <c r="L98" s="106">
        <v>14.04</v>
      </c>
      <c r="M98" s="106">
        <v>3.7909999999999999</v>
      </c>
      <c r="N98" s="106">
        <v>1404</v>
      </c>
      <c r="O98" s="106">
        <v>379.1</v>
      </c>
      <c r="R98" s="455" t="s">
        <v>743</v>
      </c>
      <c r="S98" s="456"/>
      <c r="T98" s="106">
        <v>16.489999999999998</v>
      </c>
      <c r="U98" s="106">
        <v>4.452</v>
      </c>
      <c r="V98" s="106">
        <v>1649</v>
      </c>
      <c r="W98" s="106">
        <v>445.2</v>
      </c>
      <c r="Z98" s="455" t="s">
        <v>743</v>
      </c>
      <c r="AA98" s="456"/>
      <c r="AB98" s="106">
        <v>8.4</v>
      </c>
      <c r="AC98" s="106">
        <v>2.2679999999999998</v>
      </c>
      <c r="AD98" s="106">
        <v>840</v>
      </c>
      <c r="AE98" s="106">
        <v>226.8</v>
      </c>
      <c r="AH98" s="455" t="s">
        <v>742</v>
      </c>
      <c r="AI98" s="456"/>
      <c r="AJ98" s="106">
        <v>9.6</v>
      </c>
      <c r="AK98" s="106">
        <v>8.0640000000000001</v>
      </c>
      <c r="AL98" s="106">
        <v>960</v>
      </c>
      <c r="AM98" s="106">
        <v>806.4</v>
      </c>
    </row>
    <row r="99" spans="1:40" ht="18.95" customHeight="1" x14ac:dyDescent="0.25">
      <c r="B99" s="162" t="s">
        <v>476</v>
      </c>
      <c r="C99" s="163"/>
      <c r="D99" s="106">
        <v>0.48</v>
      </c>
      <c r="E99" s="106">
        <v>0.46300000000000002</v>
      </c>
      <c r="F99" s="106">
        <v>48</v>
      </c>
      <c r="G99" s="106">
        <v>46.3</v>
      </c>
      <c r="J99" s="455" t="s">
        <v>476</v>
      </c>
      <c r="K99" s="456"/>
      <c r="L99" s="106">
        <v>7.0999999999999994E-2</v>
      </c>
      <c r="M99" s="106">
        <v>6.9000000000000006E-2</v>
      </c>
      <c r="N99" s="106">
        <v>7.1</v>
      </c>
      <c r="O99" s="106">
        <v>6.9</v>
      </c>
      <c r="R99" s="488" t="s">
        <v>744</v>
      </c>
      <c r="S99" s="489"/>
      <c r="T99" s="106">
        <v>25.74</v>
      </c>
      <c r="U99" s="106">
        <v>9.0090000000000003</v>
      </c>
      <c r="V99" s="106">
        <v>2574</v>
      </c>
      <c r="W99" s="106">
        <v>900.9</v>
      </c>
      <c r="Z99" s="455" t="s">
        <v>476</v>
      </c>
      <c r="AA99" s="456"/>
      <c r="AB99" s="106">
        <v>0.1</v>
      </c>
      <c r="AC99" s="106">
        <v>9.6500000000000002E-2</v>
      </c>
      <c r="AD99" s="106">
        <v>10</v>
      </c>
      <c r="AE99" s="106">
        <v>9.65</v>
      </c>
      <c r="AH99" s="484" t="s">
        <v>743</v>
      </c>
      <c r="AI99" s="485"/>
      <c r="AJ99" s="106">
        <v>2.1</v>
      </c>
      <c r="AK99" s="106">
        <v>0.56699999999999995</v>
      </c>
      <c r="AL99" s="106">
        <v>210</v>
      </c>
      <c r="AM99" s="106">
        <v>56.7</v>
      </c>
    </row>
    <row r="100" spans="1:40" ht="18.95" customHeight="1" x14ac:dyDescent="0.25">
      <c r="B100" s="154" t="s">
        <v>763</v>
      </c>
      <c r="C100" s="155"/>
      <c r="D100" s="106">
        <v>60.96</v>
      </c>
      <c r="E100" s="106">
        <v>37.18</v>
      </c>
      <c r="F100" s="106">
        <v>6096</v>
      </c>
      <c r="G100" s="106">
        <v>3718.4</v>
      </c>
      <c r="J100" s="455" t="s">
        <v>330</v>
      </c>
      <c r="K100" s="456"/>
      <c r="L100" s="106">
        <v>17.54</v>
      </c>
      <c r="M100" s="106">
        <v>14.032</v>
      </c>
      <c r="N100" s="106">
        <v>1754</v>
      </c>
      <c r="O100" s="106">
        <v>1403.2</v>
      </c>
      <c r="R100" s="455" t="s">
        <v>798</v>
      </c>
      <c r="S100" s="456"/>
      <c r="T100" s="106">
        <v>1.02</v>
      </c>
      <c r="U100" s="106">
        <v>1.018</v>
      </c>
      <c r="V100" s="106">
        <v>102</v>
      </c>
      <c r="W100" s="106">
        <v>101.8</v>
      </c>
      <c r="Z100" s="455" t="s">
        <v>745</v>
      </c>
      <c r="AA100" s="456"/>
      <c r="AB100" s="106">
        <v>0.1</v>
      </c>
      <c r="AC100" s="106">
        <v>0.05</v>
      </c>
      <c r="AD100" s="106">
        <v>10</v>
      </c>
      <c r="AE100" s="106">
        <v>5</v>
      </c>
      <c r="AH100" s="488" t="s">
        <v>583</v>
      </c>
      <c r="AI100" s="489"/>
      <c r="AJ100" s="106">
        <v>7.55</v>
      </c>
      <c r="AK100" s="106">
        <v>0.90600000000000003</v>
      </c>
      <c r="AL100" s="106">
        <v>755</v>
      </c>
      <c r="AM100" s="106">
        <v>90.6</v>
      </c>
    </row>
    <row r="101" spans="1:40" ht="18.95" customHeight="1" x14ac:dyDescent="0.25">
      <c r="B101" s="154" t="s">
        <v>416</v>
      </c>
      <c r="C101" s="155"/>
      <c r="D101" s="106">
        <v>58</v>
      </c>
      <c r="E101" s="106"/>
      <c r="F101" s="106">
        <v>5800</v>
      </c>
      <c r="G101" s="106"/>
      <c r="J101" s="455" t="s">
        <v>798</v>
      </c>
      <c r="K101" s="456"/>
      <c r="L101" s="118" t="s">
        <v>801</v>
      </c>
      <c r="M101" s="106">
        <v>0.81899999999999995</v>
      </c>
      <c r="N101" s="106">
        <v>82</v>
      </c>
      <c r="O101" s="182">
        <v>81.900000000000006</v>
      </c>
      <c r="R101" s="455" t="s">
        <v>745</v>
      </c>
      <c r="S101" s="456"/>
      <c r="T101" s="118" t="s">
        <v>802</v>
      </c>
      <c r="U101" s="106">
        <v>2.5999999999999999E-2</v>
      </c>
      <c r="V101" s="106">
        <v>5.2</v>
      </c>
      <c r="W101" s="182">
        <v>2.6</v>
      </c>
      <c r="Z101" s="455" t="s">
        <v>330</v>
      </c>
      <c r="AA101" s="456"/>
      <c r="AB101" s="106">
        <v>9.18</v>
      </c>
      <c r="AC101" s="106">
        <v>7.3440000000000003</v>
      </c>
      <c r="AD101" s="106">
        <v>918</v>
      </c>
      <c r="AE101" s="106">
        <v>734.4</v>
      </c>
      <c r="AH101" s="455" t="s">
        <v>745</v>
      </c>
      <c r="AI101" s="456"/>
      <c r="AJ101" s="106">
        <v>0.191</v>
      </c>
      <c r="AK101" s="106">
        <v>9.6000000000000002E-2</v>
      </c>
      <c r="AL101" s="106">
        <v>19.100000000000001</v>
      </c>
      <c r="AM101" s="106">
        <v>9.6</v>
      </c>
    </row>
    <row r="102" spans="1:40" ht="18.95" customHeight="1" x14ac:dyDescent="0.25">
      <c r="B102" s="156" t="s">
        <v>180</v>
      </c>
      <c r="C102" s="157"/>
      <c r="D102" s="118" t="s">
        <v>779</v>
      </c>
      <c r="E102" s="106">
        <v>31</v>
      </c>
      <c r="F102" s="106">
        <v>5000</v>
      </c>
      <c r="G102" s="182">
        <v>3100</v>
      </c>
      <c r="J102" s="455" t="s">
        <v>799</v>
      </c>
      <c r="K102" s="456"/>
      <c r="L102" s="106">
        <v>7.0999999999999994E-2</v>
      </c>
      <c r="M102" s="106">
        <v>0</v>
      </c>
      <c r="N102" s="106">
        <v>7.1</v>
      </c>
      <c r="O102" s="106">
        <v>0</v>
      </c>
      <c r="R102" s="455" t="s">
        <v>800</v>
      </c>
      <c r="S102" s="456"/>
      <c r="T102" s="106">
        <v>9.9000000000000005E-2</v>
      </c>
      <c r="U102" s="106">
        <v>0</v>
      </c>
      <c r="V102" s="106">
        <v>9.9</v>
      </c>
      <c r="W102" s="106">
        <v>0</v>
      </c>
      <c r="Z102" s="455" t="s">
        <v>806</v>
      </c>
      <c r="AA102" s="456"/>
      <c r="AB102" s="106">
        <v>2.5</v>
      </c>
      <c r="AC102" s="106">
        <v>2.4375</v>
      </c>
      <c r="AD102" s="106">
        <v>250</v>
      </c>
      <c r="AE102" s="106">
        <v>243.75</v>
      </c>
      <c r="AH102" s="455" t="s">
        <v>800</v>
      </c>
      <c r="AI102" s="456"/>
      <c r="AJ102" s="106">
        <v>0.38100000000000001</v>
      </c>
      <c r="AK102" s="106">
        <v>0</v>
      </c>
      <c r="AL102" s="106">
        <v>38.1</v>
      </c>
      <c r="AM102" s="106">
        <v>0</v>
      </c>
    </row>
    <row r="103" spans="1:40" ht="18.95" customHeight="1" x14ac:dyDescent="0.25">
      <c r="J103" s="455" t="s">
        <v>800</v>
      </c>
      <c r="K103" s="456"/>
      <c r="L103" s="106">
        <v>7.0999999999999994E-2</v>
      </c>
      <c r="M103" s="106">
        <v>0</v>
      </c>
      <c r="N103" s="106">
        <v>7.1</v>
      </c>
      <c r="O103" s="106">
        <v>0</v>
      </c>
      <c r="R103" s="455" t="s">
        <v>100</v>
      </c>
      <c r="S103" s="456"/>
      <c r="T103" s="106">
        <v>12.0701</v>
      </c>
      <c r="U103" s="106">
        <v>85.096999999999994</v>
      </c>
      <c r="V103" s="106">
        <v>12070.1</v>
      </c>
      <c r="W103" s="106">
        <v>8509.7000000000007</v>
      </c>
      <c r="Z103" s="455" t="s">
        <v>800</v>
      </c>
      <c r="AA103" s="456"/>
      <c r="AB103" s="106">
        <v>0.1</v>
      </c>
      <c r="AC103" s="106">
        <v>0</v>
      </c>
      <c r="AD103" s="106">
        <v>10</v>
      </c>
      <c r="AE103" s="106">
        <v>0</v>
      </c>
      <c r="AH103" s="455" t="s">
        <v>657</v>
      </c>
      <c r="AI103" s="456"/>
      <c r="AJ103" s="106">
        <v>1.9E-2</v>
      </c>
      <c r="AK103" s="106">
        <v>0</v>
      </c>
      <c r="AL103" s="106">
        <v>1.9</v>
      </c>
      <c r="AM103" s="106">
        <v>0</v>
      </c>
    </row>
    <row r="104" spans="1:40" ht="18.95" customHeight="1" x14ac:dyDescent="0.25">
      <c r="A104" s="459" t="s">
        <v>181</v>
      </c>
      <c r="B104" s="459"/>
      <c r="C104" s="459"/>
      <c r="D104" s="459"/>
      <c r="E104" s="459"/>
      <c r="F104" s="459"/>
      <c r="G104" s="459"/>
      <c r="H104" s="459"/>
      <c r="J104" s="455" t="s">
        <v>100</v>
      </c>
      <c r="K104" s="456"/>
      <c r="L104" s="106">
        <v>91.093000000000004</v>
      </c>
      <c r="M104" s="106">
        <v>70.966999999999999</v>
      </c>
      <c r="N104" s="106">
        <v>9109.2999999999993</v>
      </c>
      <c r="O104" s="106">
        <v>7096.7</v>
      </c>
      <c r="R104" s="534" t="s">
        <v>180</v>
      </c>
      <c r="S104" s="535"/>
      <c r="T104" s="106">
        <v>100</v>
      </c>
      <c r="U104" s="106">
        <v>80</v>
      </c>
      <c r="V104" s="106">
        <v>10000</v>
      </c>
      <c r="W104" s="106">
        <v>8000</v>
      </c>
      <c r="Z104" s="463" t="s">
        <v>807</v>
      </c>
      <c r="AA104" s="464"/>
      <c r="AB104" s="106">
        <v>0.25</v>
      </c>
      <c r="AC104" s="106">
        <v>0.21</v>
      </c>
      <c r="AD104" s="106">
        <v>25</v>
      </c>
      <c r="AE104" s="106">
        <v>21</v>
      </c>
      <c r="AH104" s="455" t="s">
        <v>809</v>
      </c>
      <c r="AI104" s="456"/>
      <c r="AJ104" s="106">
        <v>0.9</v>
      </c>
      <c r="AK104" s="106">
        <v>0.24299999999999999</v>
      </c>
      <c r="AL104" s="106">
        <v>90</v>
      </c>
      <c r="AM104" s="106">
        <v>24.3</v>
      </c>
    </row>
    <row r="105" spans="1:40" ht="18.95" customHeight="1" x14ac:dyDescent="0.25">
      <c r="A105" s="158" t="s">
        <v>182</v>
      </c>
      <c r="B105" s="158" t="s">
        <v>106</v>
      </c>
      <c r="C105" s="115" t="s">
        <v>107</v>
      </c>
      <c r="D105" s="116" t="s">
        <v>187</v>
      </c>
      <c r="E105" s="158" t="s">
        <v>183</v>
      </c>
      <c r="F105" s="158" t="s">
        <v>184</v>
      </c>
      <c r="G105" s="158" t="s">
        <v>185</v>
      </c>
      <c r="H105" s="158" t="s">
        <v>186</v>
      </c>
      <c r="J105" s="534" t="s">
        <v>180</v>
      </c>
      <c r="K105" s="535"/>
      <c r="L105" s="106">
        <v>75</v>
      </c>
      <c r="M105" s="106">
        <v>66</v>
      </c>
      <c r="N105" s="106">
        <v>7500</v>
      </c>
      <c r="O105" s="106">
        <v>6600</v>
      </c>
      <c r="Z105" s="484" t="s">
        <v>763</v>
      </c>
      <c r="AA105" s="485"/>
      <c r="AB105" s="106">
        <v>62.13</v>
      </c>
      <c r="AC105" s="106">
        <v>48.923999999999999</v>
      </c>
      <c r="AD105" s="106">
        <v>6213</v>
      </c>
      <c r="AE105" s="106">
        <v>4892.3999999999996</v>
      </c>
      <c r="AH105" s="455" t="s">
        <v>100</v>
      </c>
      <c r="AI105" s="456"/>
      <c r="AJ105" s="106">
        <v>84.191000000000003</v>
      </c>
      <c r="AK105" s="106">
        <v>67.161000000000001</v>
      </c>
      <c r="AL105" s="106">
        <v>8419.1</v>
      </c>
      <c r="AM105" s="106">
        <v>6716.1</v>
      </c>
    </row>
    <row r="106" spans="1:40" ht="18.95" customHeight="1" x14ac:dyDescent="0.25">
      <c r="A106" s="41">
        <f>выпечка!E31</f>
        <v>9.2799999999999994</v>
      </c>
      <c r="B106" s="41">
        <f>выпечка!F31</f>
        <v>1.98</v>
      </c>
      <c r="C106" s="41">
        <f>выпечка!G31</f>
        <v>46.9</v>
      </c>
      <c r="D106" s="41">
        <f>выпечка!H31</f>
        <v>242</v>
      </c>
      <c r="E106" s="41">
        <f>выпечка!M31</f>
        <v>60.4</v>
      </c>
      <c r="F106" s="41">
        <f>выпечка!O31</f>
        <v>36.6</v>
      </c>
      <c r="G106" s="41">
        <f>выпечка!P31</f>
        <v>1.46</v>
      </c>
      <c r="H106" s="41">
        <f>выпечка!J31</f>
        <v>0.26</v>
      </c>
      <c r="Q106" s="459" t="s">
        <v>181</v>
      </c>
      <c r="R106" s="459"/>
      <c r="S106" s="459"/>
      <c r="T106" s="459"/>
      <c r="U106" s="459"/>
      <c r="V106" s="459"/>
      <c r="W106" s="459"/>
      <c r="X106" s="459"/>
      <c r="Z106" s="457" t="s">
        <v>180</v>
      </c>
      <c r="AA106" s="458"/>
      <c r="AB106" s="118" t="s">
        <v>779</v>
      </c>
      <c r="AC106" s="106">
        <v>44</v>
      </c>
      <c r="AD106" s="106">
        <v>5000</v>
      </c>
      <c r="AE106" s="182">
        <v>4400</v>
      </c>
      <c r="AH106" s="455" t="s">
        <v>416</v>
      </c>
      <c r="AI106" s="456"/>
      <c r="AJ106" s="106">
        <v>82</v>
      </c>
      <c r="AK106" s="106">
        <v>65.599999999999994</v>
      </c>
      <c r="AL106" s="106">
        <v>8200</v>
      </c>
      <c r="AM106" s="106">
        <v>6560</v>
      </c>
    </row>
    <row r="107" spans="1:40" ht="18.95" customHeight="1" x14ac:dyDescent="0.25">
      <c r="I107" s="460" t="s">
        <v>181</v>
      </c>
      <c r="J107" s="459"/>
      <c r="K107" s="459"/>
      <c r="L107" s="459"/>
      <c r="M107" s="459"/>
      <c r="N107" s="459"/>
      <c r="O107" s="459"/>
      <c r="P107" s="461"/>
      <c r="Q107" s="158" t="s">
        <v>182</v>
      </c>
      <c r="R107" s="158" t="s">
        <v>106</v>
      </c>
      <c r="S107" s="115" t="s">
        <v>107</v>
      </c>
      <c r="T107" s="116" t="s">
        <v>187</v>
      </c>
      <c r="U107" s="158" t="s">
        <v>183</v>
      </c>
      <c r="V107" s="158" t="s">
        <v>184</v>
      </c>
      <c r="W107" s="158" t="s">
        <v>185</v>
      </c>
      <c r="X107" s="158" t="s">
        <v>186</v>
      </c>
      <c r="AH107" s="457" t="s">
        <v>180</v>
      </c>
      <c r="AI107" s="458"/>
      <c r="AJ107" s="118" t="s">
        <v>810</v>
      </c>
      <c r="AK107" s="106">
        <v>64.125</v>
      </c>
      <c r="AL107" s="106">
        <v>7500</v>
      </c>
      <c r="AM107" s="86">
        <v>6412.5</v>
      </c>
    </row>
    <row r="108" spans="1:40" ht="18.95" customHeight="1" x14ac:dyDescent="0.25">
      <c r="A108" s="462" t="s">
        <v>780</v>
      </c>
      <c r="B108" s="462"/>
      <c r="C108" s="462"/>
      <c r="D108" s="462"/>
      <c r="E108" s="462"/>
      <c r="F108" s="462"/>
      <c r="G108" s="462"/>
      <c r="H108" s="462"/>
      <c r="I108" s="158" t="s">
        <v>182</v>
      </c>
      <c r="J108" s="158" t="s">
        <v>106</v>
      </c>
      <c r="K108" s="115" t="s">
        <v>107</v>
      </c>
      <c r="L108" s="116" t="s">
        <v>187</v>
      </c>
      <c r="M108" s="158" t="s">
        <v>183</v>
      </c>
      <c r="N108" s="158" t="s">
        <v>184</v>
      </c>
      <c r="O108" s="158" t="s">
        <v>185</v>
      </c>
      <c r="P108" s="158" t="s">
        <v>186</v>
      </c>
      <c r="Q108" s="41">
        <f>выпечка!E35</f>
        <v>4.71</v>
      </c>
      <c r="R108" s="41">
        <f>выпечка!F35</f>
        <v>7.42</v>
      </c>
      <c r="S108" s="41">
        <f>выпечка!G35</f>
        <v>25.58</v>
      </c>
      <c r="T108" s="41">
        <f>выпечка!H35</f>
        <v>188</v>
      </c>
      <c r="U108" s="41">
        <f>выпечка!M35</f>
        <v>26.7</v>
      </c>
      <c r="V108" s="41">
        <f>выпечка!O35</f>
        <v>9.1</v>
      </c>
      <c r="W108" s="41">
        <f>выпечка!P35</f>
        <v>0.51</v>
      </c>
      <c r="X108" s="41">
        <f>выпечка!J35</f>
        <v>0.03</v>
      </c>
      <c r="Y108" s="460" t="s">
        <v>181</v>
      </c>
      <c r="Z108" s="459"/>
      <c r="AA108" s="459"/>
      <c r="AB108" s="459"/>
      <c r="AC108" s="459"/>
      <c r="AD108" s="459"/>
      <c r="AE108" s="459"/>
      <c r="AF108" s="459"/>
    </row>
    <row r="109" spans="1:40" ht="18.95" customHeight="1" x14ac:dyDescent="0.25">
      <c r="A109" s="462"/>
      <c r="B109" s="462"/>
      <c r="C109" s="462"/>
      <c r="D109" s="462"/>
      <c r="E109" s="462"/>
      <c r="F109" s="462"/>
      <c r="G109" s="462"/>
      <c r="H109" s="462"/>
      <c r="I109" s="41">
        <f>выпечка!E33</f>
        <v>4.57</v>
      </c>
      <c r="J109" s="41">
        <f>выпечка!F33</f>
        <v>13.84</v>
      </c>
      <c r="K109" s="41">
        <f>выпечка!G33</f>
        <v>43.06</v>
      </c>
      <c r="L109" s="41">
        <f>выпечка!H33</f>
        <v>315</v>
      </c>
      <c r="M109" s="41">
        <f>выпечка!M33</f>
        <v>27.5</v>
      </c>
      <c r="N109" s="41">
        <f>выпечка!O33</f>
        <v>17</v>
      </c>
      <c r="O109" s="41">
        <f>выпечка!P33</f>
        <v>1.2</v>
      </c>
      <c r="P109" s="41">
        <f>выпечка!J33</f>
        <v>0</v>
      </c>
      <c r="Y109" s="158" t="s">
        <v>182</v>
      </c>
      <c r="Z109" s="158" t="s">
        <v>106</v>
      </c>
      <c r="AA109" s="115" t="s">
        <v>107</v>
      </c>
      <c r="AB109" s="116" t="s">
        <v>187</v>
      </c>
      <c r="AC109" s="158" t="s">
        <v>183</v>
      </c>
      <c r="AD109" s="158" t="s">
        <v>184</v>
      </c>
      <c r="AE109" s="158" t="s">
        <v>185</v>
      </c>
      <c r="AF109" s="158" t="s">
        <v>186</v>
      </c>
      <c r="AG109" s="460" t="s">
        <v>181</v>
      </c>
      <c r="AH109" s="459"/>
      <c r="AI109" s="459"/>
      <c r="AJ109" s="459"/>
      <c r="AK109" s="459"/>
      <c r="AL109" s="459"/>
      <c r="AM109" s="459"/>
      <c r="AN109" s="459"/>
    </row>
    <row r="110" spans="1:40" ht="18.95" customHeight="1" x14ac:dyDescent="0.25">
      <c r="A110" s="462"/>
      <c r="B110" s="462"/>
      <c r="C110" s="462"/>
      <c r="D110" s="462"/>
      <c r="E110" s="462"/>
      <c r="F110" s="462"/>
      <c r="G110" s="462"/>
      <c r="H110" s="462"/>
      <c r="Q110" s="462" t="s">
        <v>804</v>
      </c>
      <c r="R110" s="462"/>
      <c r="S110" s="462"/>
      <c r="T110" s="462"/>
      <c r="U110" s="462"/>
      <c r="V110" s="462"/>
      <c r="W110" s="462"/>
      <c r="X110" s="462"/>
      <c r="Y110" s="41">
        <f>выпечка!E37</f>
        <v>4.24</v>
      </c>
      <c r="Z110" s="41">
        <f>выпечка!F37</f>
        <v>8.7100000000000009</v>
      </c>
      <c r="AA110" s="41">
        <f>выпечка!G37</f>
        <v>29.39</v>
      </c>
      <c r="AB110" s="41">
        <f>выпечка!H37</f>
        <v>213</v>
      </c>
      <c r="AC110" s="41">
        <f>выпечка!M37</f>
        <v>18.600000000000001</v>
      </c>
      <c r="AD110" s="41">
        <f>выпечка!O37</f>
        <v>17.100000000000001</v>
      </c>
      <c r="AE110" s="41">
        <f>выпечка!P37</f>
        <v>0.91</v>
      </c>
      <c r="AF110" s="41">
        <f>выпечка!J37</f>
        <v>7.0000000000000007E-2</v>
      </c>
      <c r="AG110" s="158" t="s">
        <v>182</v>
      </c>
      <c r="AH110" s="158" t="s">
        <v>106</v>
      </c>
      <c r="AI110" s="115" t="s">
        <v>107</v>
      </c>
      <c r="AJ110" s="116" t="s">
        <v>187</v>
      </c>
      <c r="AK110" s="158" t="s">
        <v>183</v>
      </c>
      <c r="AL110" s="158" t="s">
        <v>184</v>
      </c>
      <c r="AM110" s="158" t="s">
        <v>185</v>
      </c>
      <c r="AN110" s="158" t="s">
        <v>186</v>
      </c>
    </row>
    <row r="111" spans="1:40" ht="18.95" customHeight="1" x14ac:dyDescent="0.25">
      <c r="A111" s="119"/>
      <c r="B111" s="119"/>
      <c r="C111" s="119"/>
      <c r="D111" s="119"/>
      <c r="E111" s="119"/>
      <c r="F111" s="119"/>
      <c r="G111" s="119"/>
      <c r="H111" s="119"/>
      <c r="I111" s="462" t="s">
        <v>803</v>
      </c>
      <c r="J111" s="462"/>
      <c r="K111" s="462"/>
      <c r="L111" s="462"/>
      <c r="M111" s="462"/>
      <c r="N111" s="462"/>
      <c r="O111" s="462"/>
      <c r="P111" s="462"/>
      <c r="Q111" s="462"/>
      <c r="R111" s="462"/>
      <c r="S111" s="462"/>
      <c r="T111" s="462"/>
      <c r="U111" s="462"/>
      <c r="V111" s="462"/>
      <c r="W111" s="462"/>
      <c r="X111" s="462"/>
      <c r="AG111" s="41">
        <f>выпечка!E39</f>
        <v>4.8899999999999997</v>
      </c>
      <c r="AH111" s="41">
        <f>выпечка!F39</f>
        <v>8.43</v>
      </c>
      <c r="AI111" s="41">
        <f>выпечка!G39</f>
        <v>47.68</v>
      </c>
      <c r="AJ111" s="41">
        <f>выпечка!H39</f>
        <v>286</v>
      </c>
      <c r="AK111" s="41">
        <f>выпечка!M39</f>
        <v>19.2</v>
      </c>
      <c r="AL111" s="41">
        <f>выпечка!O39</f>
        <v>17.8</v>
      </c>
      <c r="AM111" s="41">
        <f>выпечка!P39</f>
        <v>0.85</v>
      </c>
      <c r="AN111" s="41">
        <f>выпечка!J39</f>
        <v>0.05</v>
      </c>
    </row>
    <row r="112" spans="1:40" ht="18.95" customHeight="1" x14ac:dyDescent="0.25">
      <c r="A112" s="454" t="s">
        <v>232</v>
      </c>
      <c r="B112" s="454"/>
      <c r="C112" s="454"/>
      <c r="I112" s="462"/>
      <c r="J112" s="462"/>
      <c r="K112" s="462"/>
      <c r="L112" s="462"/>
      <c r="M112" s="462"/>
      <c r="N112" s="462"/>
      <c r="O112" s="462"/>
      <c r="P112" s="462"/>
      <c r="Q112" s="462"/>
      <c r="R112" s="462"/>
      <c r="S112" s="462"/>
      <c r="T112" s="462"/>
      <c r="U112" s="462"/>
      <c r="V112" s="462"/>
      <c r="W112" s="462"/>
      <c r="X112" s="462"/>
      <c r="Y112" s="462" t="s">
        <v>808</v>
      </c>
      <c r="Z112" s="462"/>
      <c r="AA112" s="462"/>
      <c r="AB112" s="462"/>
      <c r="AC112" s="462"/>
      <c r="AD112" s="462"/>
      <c r="AE112" s="462"/>
      <c r="AF112" s="462"/>
    </row>
    <row r="113" spans="1:40" ht="18.95" customHeight="1" x14ac:dyDescent="0.25">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t="s">
        <v>811</v>
      </c>
      <c r="AH113" s="462"/>
      <c r="AI113" s="462"/>
      <c r="AJ113" s="462"/>
      <c r="AK113" s="462"/>
      <c r="AL113" s="462"/>
      <c r="AM113" s="462"/>
      <c r="AN113" s="462"/>
    </row>
    <row r="114" spans="1:40" ht="18.95" customHeight="1" x14ac:dyDescent="0.25">
      <c r="I114" s="462"/>
      <c r="J114" s="462"/>
      <c r="K114" s="462"/>
      <c r="L114" s="462"/>
      <c r="M114" s="462"/>
      <c r="N114" s="462"/>
      <c r="O114" s="462"/>
      <c r="P114" s="462"/>
      <c r="Q114" s="153"/>
      <c r="R114" s="153"/>
      <c r="S114" s="153"/>
      <c r="T114" s="153"/>
      <c r="U114" s="153"/>
      <c r="V114" s="153"/>
      <c r="W114" s="153"/>
      <c r="X114" s="153"/>
      <c r="Y114" s="462"/>
      <c r="Z114" s="462"/>
      <c r="AA114" s="462"/>
      <c r="AB114" s="462"/>
      <c r="AC114" s="462"/>
      <c r="AD114" s="462"/>
      <c r="AE114" s="462"/>
      <c r="AF114" s="462"/>
      <c r="AG114" s="462"/>
      <c r="AH114" s="462"/>
      <c r="AI114" s="462"/>
      <c r="AJ114" s="462"/>
      <c r="AK114" s="462"/>
      <c r="AL114" s="462"/>
      <c r="AM114" s="462"/>
      <c r="AN114" s="462"/>
    </row>
    <row r="115" spans="1:40" ht="18.95" customHeight="1" x14ac:dyDescent="0.25">
      <c r="I115" s="462"/>
      <c r="J115" s="462"/>
      <c r="K115" s="462"/>
      <c r="L115" s="462"/>
      <c r="M115" s="462"/>
      <c r="N115" s="462"/>
      <c r="O115" s="462"/>
      <c r="P115" s="462"/>
      <c r="Q115" s="454" t="s">
        <v>232</v>
      </c>
      <c r="R115" s="454"/>
      <c r="S115" s="454"/>
      <c r="Y115" s="462"/>
      <c r="Z115" s="462"/>
      <c r="AA115" s="462"/>
      <c r="AB115" s="462"/>
      <c r="AC115" s="462"/>
      <c r="AD115" s="462"/>
      <c r="AE115" s="462"/>
      <c r="AF115" s="462"/>
      <c r="AG115" s="462"/>
      <c r="AH115" s="462"/>
      <c r="AI115" s="462"/>
      <c r="AJ115" s="462"/>
      <c r="AK115" s="462"/>
      <c r="AL115" s="462"/>
      <c r="AM115" s="462"/>
      <c r="AN115" s="462"/>
    </row>
    <row r="116" spans="1:40" ht="18.95" customHeight="1" x14ac:dyDescent="0.25">
      <c r="A116" s="119"/>
      <c r="B116" s="119"/>
      <c r="C116" s="119"/>
      <c r="D116" s="119"/>
      <c r="E116" s="119"/>
      <c r="F116" s="119"/>
      <c r="G116" s="119"/>
      <c r="H116" s="119"/>
      <c r="Q116" s="161"/>
      <c r="R116" s="161"/>
      <c r="S116" s="161"/>
      <c r="Y116" s="119"/>
      <c r="Z116" s="119"/>
      <c r="AA116" s="119"/>
      <c r="AB116" s="119"/>
      <c r="AC116" s="119"/>
      <c r="AD116" s="119"/>
      <c r="AE116" s="119"/>
      <c r="AF116" s="119"/>
      <c r="AG116" s="462"/>
      <c r="AH116" s="462"/>
      <c r="AI116" s="462"/>
      <c r="AJ116" s="462"/>
      <c r="AK116" s="462"/>
      <c r="AL116" s="462"/>
      <c r="AM116" s="462"/>
      <c r="AN116" s="462"/>
    </row>
    <row r="117" spans="1:40" ht="18.95" customHeight="1" x14ac:dyDescent="0.25">
      <c r="I117" s="454" t="s">
        <v>232</v>
      </c>
      <c r="J117" s="454"/>
      <c r="K117" s="454"/>
      <c r="Y117" s="454" t="s">
        <v>232</v>
      </c>
      <c r="Z117" s="454"/>
      <c r="AA117" s="454"/>
      <c r="AB117" s="119"/>
      <c r="AC117" s="119"/>
      <c r="AD117" s="119"/>
      <c r="AE117" s="119"/>
      <c r="AF117" s="119"/>
      <c r="AG117" s="462"/>
      <c r="AH117" s="462"/>
      <c r="AI117" s="462"/>
      <c r="AJ117" s="462"/>
      <c r="AK117" s="462"/>
      <c r="AL117" s="462"/>
      <c r="AM117" s="462"/>
      <c r="AN117" s="462"/>
    </row>
    <row r="118" spans="1:40" ht="18.95" customHeight="1" x14ac:dyDescent="0.25">
      <c r="Y118" s="119"/>
      <c r="Z118" s="119"/>
      <c r="AA118" s="119"/>
      <c r="AB118" s="119"/>
      <c r="AC118" s="119"/>
      <c r="AD118" s="119"/>
      <c r="AE118" s="119"/>
      <c r="AF118" s="119"/>
    </row>
    <row r="119" spans="1:40" ht="18.95" customHeight="1" x14ac:dyDescent="0.25">
      <c r="Y119" s="119"/>
      <c r="Z119" s="119"/>
      <c r="AA119" s="119"/>
      <c r="AB119" s="119"/>
      <c r="AC119" s="119"/>
      <c r="AD119" s="119"/>
      <c r="AE119" s="119"/>
      <c r="AF119" s="119"/>
      <c r="AG119" s="454" t="s">
        <v>232</v>
      </c>
      <c r="AH119" s="454"/>
      <c r="AI119" s="454"/>
    </row>
    <row r="120" spans="1:40" ht="18.95" customHeight="1" x14ac:dyDescent="0.25"/>
    <row r="121" spans="1:40" ht="18.95" customHeight="1" x14ac:dyDescent="0.25"/>
    <row r="122" spans="1:40" ht="18.95" customHeight="1" x14ac:dyDescent="0.25"/>
    <row r="123" spans="1:40" ht="18.95" customHeight="1" x14ac:dyDescent="0.25"/>
  </sheetData>
  <mergeCells count="386">
    <mergeCell ref="AG71:AN74"/>
    <mergeCell ref="Y75:AA75"/>
    <mergeCell ref="AG76:AI76"/>
    <mergeCell ref="Q71:X74"/>
    <mergeCell ref="Z64:AA64"/>
    <mergeCell ref="Y67:AF67"/>
    <mergeCell ref="Y71:AF73"/>
    <mergeCell ref="AH59:AI59"/>
    <mergeCell ref="AH60:AI60"/>
    <mergeCell ref="AH61:AI61"/>
    <mergeCell ref="AH62:AI62"/>
    <mergeCell ref="AH63:AI63"/>
    <mergeCell ref="AG67:AN67"/>
    <mergeCell ref="Q67:X67"/>
    <mergeCell ref="Q76:S76"/>
    <mergeCell ref="AH64:AI64"/>
    <mergeCell ref="AH65:AI65"/>
    <mergeCell ref="R62:S62"/>
    <mergeCell ref="Z62:AA62"/>
    <mergeCell ref="R64:S64"/>
    <mergeCell ref="Z63:AA63"/>
    <mergeCell ref="R63:S63"/>
    <mergeCell ref="R65:S65"/>
    <mergeCell ref="A104:H104"/>
    <mergeCell ref="A108:H110"/>
    <mergeCell ref="A112:C112"/>
    <mergeCell ref="J98:K98"/>
    <mergeCell ref="J99:K99"/>
    <mergeCell ref="J100:K100"/>
    <mergeCell ref="J101:K101"/>
    <mergeCell ref="B65:C65"/>
    <mergeCell ref="A67:H67"/>
    <mergeCell ref="A71:H72"/>
    <mergeCell ref="A74:C74"/>
    <mergeCell ref="I66:P66"/>
    <mergeCell ref="B95:C95"/>
    <mergeCell ref="J95:K95"/>
    <mergeCell ref="B96:C96"/>
    <mergeCell ref="J96:K96"/>
    <mergeCell ref="B97:C97"/>
    <mergeCell ref="J97:K97"/>
    <mergeCell ref="B92:C94"/>
    <mergeCell ref="D92:G92"/>
    <mergeCell ref="J92:K94"/>
    <mergeCell ref="L92:O92"/>
    <mergeCell ref="D93:E93"/>
    <mergeCell ref="F93:G93"/>
    <mergeCell ref="AG119:AI119"/>
    <mergeCell ref="AH107:AI107"/>
    <mergeCell ref="AG109:AN109"/>
    <mergeCell ref="AG113:AN117"/>
    <mergeCell ref="I107:P107"/>
    <mergeCell ref="Y108:AF108"/>
    <mergeCell ref="Y112:AF115"/>
    <mergeCell ref="Y117:AA117"/>
    <mergeCell ref="I75:K75"/>
    <mergeCell ref="Z105:AA105"/>
    <mergeCell ref="AH105:AI105"/>
    <mergeCell ref="AH106:AI106"/>
    <mergeCell ref="R103:S103"/>
    <mergeCell ref="Z103:AA103"/>
    <mergeCell ref="AH103:AI103"/>
    <mergeCell ref="R104:S104"/>
    <mergeCell ref="Z104:AA104"/>
    <mergeCell ref="AH104:AI104"/>
    <mergeCell ref="Z106:AA106"/>
    <mergeCell ref="R101:S101"/>
    <mergeCell ref="Z101:AA101"/>
    <mergeCell ref="AH101:AI101"/>
    <mergeCell ref="R102:S102"/>
    <mergeCell ref="Z102:AA102"/>
    <mergeCell ref="AH102:AI102"/>
    <mergeCell ref="R99:S99"/>
    <mergeCell ref="Z99:AA99"/>
    <mergeCell ref="AH99:AI99"/>
    <mergeCell ref="R100:S100"/>
    <mergeCell ref="Z100:AA100"/>
    <mergeCell ref="AH100:AI100"/>
    <mergeCell ref="R97:S97"/>
    <mergeCell ref="Z97:AA97"/>
    <mergeCell ref="AH97:AI97"/>
    <mergeCell ref="R98:S98"/>
    <mergeCell ref="Z98:AA98"/>
    <mergeCell ref="AH98:AI98"/>
    <mergeCell ref="AJ93:AK93"/>
    <mergeCell ref="AL93:AM93"/>
    <mergeCell ref="R95:S95"/>
    <mergeCell ref="Z95:AA95"/>
    <mergeCell ref="AH95:AI95"/>
    <mergeCell ref="R96:S96"/>
    <mergeCell ref="Z96:AA96"/>
    <mergeCell ref="AH96:AI96"/>
    <mergeCell ref="R92:S94"/>
    <mergeCell ref="T92:W92"/>
    <mergeCell ref="Z92:AA94"/>
    <mergeCell ref="AB92:AE92"/>
    <mergeCell ref="AH92:AI94"/>
    <mergeCell ref="AJ92:AM92"/>
    <mergeCell ref="T93:U93"/>
    <mergeCell ref="V93:W93"/>
    <mergeCell ref="AB93:AC93"/>
    <mergeCell ref="AD93:AE93"/>
    <mergeCell ref="Q89:X89"/>
    <mergeCell ref="Y89:AF89"/>
    <mergeCell ref="AG89:AN89"/>
    <mergeCell ref="Q90:X90"/>
    <mergeCell ref="Y90:AF90"/>
    <mergeCell ref="AG90:AN90"/>
    <mergeCell ref="Q87:X87"/>
    <mergeCell ref="Y87:AF87"/>
    <mergeCell ref="AG87:AN87"/>
    <mergeCell ref="Q88:X88"/>
    <mergeCell ref="Y88:AF88"/>
    <mergeCell ref="AG88:AN88"/>
    <mergeCell ref="U84:X84"/>
    <mergeCell ref="AC84:AF84"/>
    <mergeCell ref="AK84:AN84"/>
    <mergeCell ref="Q86:X86"/>
    <mergeCell ref="Y86:AF86"/>
    <mergeCell ref="AG86:AN86"/>
    <mergeCell ref="Q83:R83"/>
    <mergeCell ref="V83:X83"/>
    <mergeCell ref="Y83:Z83"/>
    <mergeCell ref="AD83:AF83"/>
    <mergeCell ref="AG83:AH83"/>
    <mergeCell ref="AL83:AN83"/>
    <mergeCell ref="A42:B42"/>
    <mergeCell ref="F42:H42"/>
    <mergeCell ref="I42:J42"/>
    <mergeCell ref="N42:P42"/>
    <mergeCell ref="Q42:R42"/>
    <mergeCell ref="V42:X42"/>
    <mergeCell ref="Y38:AA38"/>
    <mergeCell ref="AH21:AI21"/>
    <mergeCell ref="AH22:AI22"/>
    <mergeCell ref="AH23:AI23"/>
    <mergeCell ref="AH24:AI24"/>
    <mergeCell ref="AH25:AI25"/>
    <mergeCell ref="AG27:AN27"/>
    <mergeCell ref="AG31:AN35"/>
    <mergeCell ref="AG37:AI37"/>
    <mergeCell ref="Q36:S36"/>
    <mergeCell ref="Z21:AA21"/>
    <mergeCell ref="Z22:AA22"/>
    <mergeCell ref="Z23:AA23"/>
    <mergeCell ref="Y25:AF25"/>
    <mergeCell ref="Y29:AF36"/>
    <mergeCell ref="I29:P32"/>
    <mergeCell ref="I34:K34"/>
    <mergeCell ref="R21:S21"/>
    <mergeCell ref="R22:S22"/>
    <mergeCell ref="R23:S23"/>
    <mergeCell ref="R24:S24"/>
    <mergeCell ref="Q26:X26"/>
    <mergeCell ref="Q30:X34"/>
    <mergeCell ref="A33:H37"/>
    <mergeCell ref="A39:C39"/>
    <mergeCell ref="J19:K19"/>
    <mergeCell ref="I21:P21"/>
    <mergeCell ref="I25:P25"/>
    <mergeCell ref="A25:H25"/>
    <mergeCell ref="A29:H29"/>
    <mergeCell ref="R20:S20"/>
    <mergeCell ref="L93:M93"/>
    <mergeCell ref="N93:O93"/>
    <mergeCell ref="A88:H88"/>
    <mergeCell ref="I88:P88"/>
    <mergeCell ref="A89:H89"/>
    <mergeCell ref="I89:P89"/>
    <mergeCell ref="A90:H90"/>
    <mergeCell ref="I90:P90"/>
    <mergeCell ref="E84:H84"/>
    <mergeCell ref="M84:P84"/>
    <mergeCell ref="A86:H86"/>
    <mergeCell ref="I86:P86"/>
    <mergeCell ref="A87:H87"/>
    <mergeCell ref="I87:P87"/>
    <mergeCell ref="A83:B83"/>
    <mergeCell ref="F83:H83"/>
    <mergeCell ref="I83:J83"/>
    <mergeCell ref="N83:P83"/>
    <mergeCell ref="Z65:AA65"/>
    <mergeCell ref="J61:K61"/>
    <mergeCell ref="B62:C62"/>
    <mergeCell ref="R61:S61"/>
    <mergeCell ref="Z61:AA61"/>
    <mergeCell ref="I70:P73"/>
    <mergeCell ref="J62:K62"/>
    <mergeCell ref="J63:K63"/>
    <mergeCell ref="B61:C61"/>
    <mergeCell ref="B63:C63"/>
    <mergeCell ref="B64:C64"/>
    <mergeCell ref="J59:K59"/>
    <mergeCell ref="R59:S59"/>
    <mergeCell ref="Z59:AA59"/>
    <mergeCell ref="B60:C60"/>
    <mergeCell ref="J64:K64"/>
    <mergeCell ref="R60:S60"/>
    <mergeCell ref="Z60:AA60"/>
    <mergeCell ref="B59:C59"/>
    <mergeCell ref="B57:C57"/>
    <mergeCell ref="J57:K57"/>
    <mergeCell ref="R57:S57"/>
    <mergeCell ref="Z57:AA57"/>
    <mergeCell ref="J60:K60"/>
    <mergeCell ref="AL52:AM52"/>
    <mergeCell ref="B54:C54"/>
    <mergeCell ref="J54:K54"/>
    <mergeCell ref="R54:S54"/>
    <mergeCell ref="Z54:AA54"/>
    <mergeCell ref="AH54:AI54"/>
    <mergeCell ref="AH57:AI57"/>
    <mergeCell ref="J58:K58"/>
    <mergeCell ref="R58:S58"/>
    <mergeCell ref="Z58:AA58"/>
    <mergeCell ref="AH58:AI58"/>
    <mergeCell ref="B58:C58"/>
    <mergeCell ref="B55:C55"/>
    <mergeCell ref="J55:K55"/>
    <mergeCell ref="R55:S55"/>
    <mergeCell ref="Z55:AA55"/>
    <mergeCell ref="AH55:AI55"/>
    <mergeCell ref="B56:C56"/>
    <mergeCell ref="J56:K56"/>
    <mergeCell ref="R56:S56"/>
    <mergeCell ref="Z56:AA56"/>
    <mergeCell ref="AH56:AI56"/>
    <mergeCell ref="A49:H49"/>
    <mergeCell ref="I49:P49"/>
    <mergeCell ref="Q49:X49"/>
    <mergeCell ref="Y49:AF49"/>
    <mergeCell ref="AG49:AN49"/>
    <mergeCell ref="B51:C53"/>
    <mergeCell ref="D51:G51"/>
    <mergeCell ref="J51:K53"/>
    <mergeCell ref="L51:O51"/>
    <mergeCell ref="R51:S53"/>
    <mergeCell ref="T51:W51"/>
    <mergeCell ref="Z51:AA53"/>
    <mergeCell ref="AB51:AE51"/>
    <mergeCell ref="AH51:AI53"/>
    <mergeCell ref="AJ51:AM51"/>
    <mergeCell ref="D52:E52"/>
    <mergeCell ref="F52:G52"/>
    <mergeCell ref="L52:M52"/>
    <mergeCell ref="N52:O52"/>
    <mergeCell ref="T52:U52"/>
    <mergeCell ref="V52:W52"/>
    <mergeCell ref="AB52:AC52"/>
    <mergeCell ref="AD52:AE52"/>
    <mergeCell ref="AJ52:AK52"/>
    <mergeCell ref="A47:H47"/>
    <mergeCell ref="I47:P47"/>
    <mergeCell ref="Q47:X47"/>
    <mergeCell ref="Y47:AF47"/>
    <mergeCell ref="AG47:AN47"/>
    <mergeCell ref="A48:H48"/>
    <mergeCell ref="I48:P48"/>
    <mergeCell ref="Q48:X48"/>
    <mergeCell ref="Y48:AF48"/>
    <mergeCell ref="AG48:AN48"/>
    <mergeCell ref="A45:H45"/>
    <mergeCell ref="I45:P45"/>
    <mergeCell ref="Q45:X45"/>
    <mergeCell ref="Y45:AF45"/>
    <mergeCell ref="AG45:AN45"/>
    <mergeCell ref="A46:H46"/>
    <mergeCell ref="I46:P46"/>
    <mergeCell ref="Q46:X46"/>
    <mergeCell ref="Y46:AF46"/>
    <mergeCell ref="AG46:AN46"/>
    <mergeCell ref="Y42:Z42"/>
    <mergeCell ref="AD42:AF42"/>
    <mergeCell ref="AG42:AH42"/>
    <mergeCell ref="AL42:AN42"/>
    <mergeCell ref="E43:H43"/>
    <mergeCell ref="M43:P43"/>
    <mergeCell ref="U43:X43"/>
    <mergeCell ref="AC43:AF43"/>
    <mergeCell ref="AK43:AN43"/>
    <mergeCell ref="Z20:AA20"/>
    <mergeCell ref="AH20:AI20"/>
    <mergeCell ref="A21:H21"/>
    <mergeCell ref="B18:C18"/>
    <mergeCell ref="J18:K18"/>
    <mergeCell ref="R18:S18"/>
    <mergeCell ref="Z18:AA18"/>
    <mergeCell ref="AH18:AI18"/>
    <mergeCell ref="B19:C19"/>
    <mergeCell ref="R19:S19"/>
    <mergeCell ref="Z19:AA19"/>
    <mergeCell ref="AH19:AI19"/>
    <mergeCell ref="Z15:AA15"/>
    <mergeCell ref="AH15:AI15"/>
    <mergeCell ref="B16:C16"/>
    <mergeCell ref="J16:K16"/>
    <mergeCell ref="R16:S16"/>
    <mergeCell ref="Z16:AA16"/>
    <mergeCell ref="AH16:AI16"/>
    <mergeCell ref="B17:C17"/>
    <mergeCell ref="J17:K17"/>
    <mergeCell ref="R17:S17"/>
    <mergeCell ref="Z17:AA17"/>
    <mergeCell ref="AH17:AI17"/>
    <mergeCell ref="AD11:AE11"/>
    <mergeCell ref="AJ11:AK11"/>
    <mergeCell ref="AL11:AM11"/>
    <mergeCell ref="B13:C13"/>
    <mergeCell ref="J13:K13"/>
    <mergeCell ref="R13:S13"/>
    <mergeCell ref="Z13:AA13"/>
    <mergeCell ref="AH13:AI13"/>
    <mergeCell ref="B14:C14"/>
    <mergeCell ref="J14:K14"/>
    <mergeCell ref="R14:S14"/>
    <mergeCell ref="Z14:AA14"/>
    <mergeCell ref="AH14:AI14"/>
    <mergeCell ref="Y7:AF7"/>
    <mergeCell ref="AG7:AN7"/>
    <mergeCell ref="A8:H8"/>
    <mergeCell ref="I8:P8"/>
    <mergeCell ref="Q8:X8"/>
    <mergeCell ref="Y8:AF8"/>
    <mergeCell ref="AG8:AN8"/>
    <mergeCell ref="B10:C12"/>
    <mergeCell ref="D10:G10"/>
    <mergeCell ref="J10:K12"/>
    <mergeCell ref="L10:O10"/>
    <mergeCell ref="R10:S12"/>
    <mergeCell ref="T10:W10"/>
    <mergeCell ref="Z10:AA12"/>
    <mergeCell ref="AB10:AE10"/>
    <mergeCell ref="AH10:AI12"/>
    <mergeCell ref="AJ10:AM10"/>
    <mergeCell ref="D11:E11"/>
    <mergeCell ref="F11:G11"/>
    <mergeCell ref="L11:M11"/>
    <mergeCell ref="N11:O11"/>
    <mergeCell ref="T11:U11"/>
    <mergeCell ref="V11:W11"/>
    <mergeCell ref="AB11:AC11"/>
    <mergeCell ref="Y4:AF4"/>
    <mergeCell ref="AG4:AN4"/>
    <mergeCell ref="A5:H5"/>
    <mergeCell ref="I5:P5"/>
    <mergeCell ref="Q5:X5"/>
    <mergeCell ref="Y5:AF5"/>
    <mergeCell ref="AG5:AN5"/>
    <mergeCell ref="A6:H6"/>
    <mergeCell ref="I6:P6"/>
    <mergeCell ref="Q6:X6"/>
    <mergeCell ref="Y6:AF6"/>
    <mergeCell ref="AG6:AN6"/>
    <mergeCell ref="Y1:Z1"/>
    <mergeCell ref="AD1:AF1"/>
    <mergeCell ref="AG1:AH1"/>
    <mergeCell ref="AL1:AN1"/>
    <mergeCell ref="E2:H2"/>
    <mergeCell ref="M2:P2"/>
    <mergeCell ref="U2:X2"/>
    <mergeCell ref="AC2:AF2"/>
    <mergeCell ref="AK2:AN2"/>
    <mergeCell ref="J105:K105"/>
    <mergeCell ref="I111:P115"/>
    <mergeCell ref="I117:K117"/>
    <mergeCell ref="Q106:X106"/>
    <mergeCell ref="Q110:X113"/>
    <mergeCell ref="Q115:S115"/>
    <mergeCell ref="A1:B1"/>
    <mergeCell ref="F1:H1"/>
    <mergeCell ref="I1:J1"/>
    <mergeCell ref="N1:P1"/>
    <mergeCell ref="Q1:R1"/>
    <mergeCell ref="V1:X1"/>
    <mergeCell ref="J102:K102"/>
    <mergeCell ref="J103:K103"/>
    <mergeCell ref="J104:K104"/>
    <mergeCell ref="A4:H4"/>
    <mergeCell ref="I4:P4"/>
    <mergeCell ref="Q4:X4"/>
    <mergeCell ref="A7:H7"/>
    <mergeCell ref="I7:P7"/>
    <mergeCell ref="Q7:X7"/>
    <mergeCell ref="B15:C15"/>
    <mergeCell ref="J15:K15"/>
    <mergeCell ref="R15:S15"/>
  </mergeCells>
  <pageMargins left="0.7" right="0.7" top="0.75" bottom="0.75" header="0.3" footer="0.3"/>
  <pageSetup paperSize="9" fitToWidth="0"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sqref="A1:S1"/>
    </sheetView>
  </sheetViews>
  <sheetFormatPr defaultRowHeight="15" x14ac:dyDescent="0.25"/>
  <cols>
    <col min="1" max="1" width="65.7109375" style="195" customWidth="1"/>
    <col min="2" max="19" width="9.7109375" style="93" customWidth="1"/>
    <col min="20" max="16384" width="9.140625" style="93"/>
  </cols>
  <sheetData>
    <row r="1" spans="1:19" ht="18.95" customHeight="1" thickBot="1" x14ac:dyDescent="0.3">
      <c r="A1" s="502" t="s">
        <v>0</v>
      </c>
      <c r="B1" s="502"/>
      <c r="C1" s="502"/>
      <c r="D1" s="502"/>
      <c r="E1" s="502"/>
      <c r="F1" s="502"/>
      <c r="G1" s="502"/>
      <c r="H1" s="502"/>
      <c r="I1" s="502"/>
      <c r="J1" s="502"/>
      <c r="K1" s="502"/>
      <c r="L1" s="502"/>
      <c r="M1" s="502"/>
      <c r="N1" s="502"/>
      <c r="O1" s="502"/>
      <c r="P1" s="502"/>
      <c r="Q1" s="502"/>
      <c r="R1" s="502"/>
      <c r="S1" s="502"/>
    </row>
    <row r="2" spans="1:19" ht="18.95" customHeight="1" thickBot="1" x14ac:dyDescent="0.3">
      <c r="A2" s="506" t="s">
        <v>1</v>
      </c>
      <c r="B2" s="503" t="s">
        <v>2</v>
      </c>
      <c r="C2" s="505"/>
      <c r="D2" s="508" t="s">
        <v>3</v>
      </c>
      <c r="E2" s="510" t="s">
        <v>4</v>
      </c>
      <c r="F2" s="511"/>
      <c r="G2" s="511"/>
      <c r="H2" s="512"/>
      <c r="I2" s="451" t="s">
        <v>5</v>
      </c>
      <c r="J2" s="452"/>
      <c r="K2" s="452"/>
      <c r="L2" s="453"/>
      <c r="M2" s="451" t="s">
        <v>6</v>
      </c>
      <c r="N2" s="452"/>
      <c r="O2" s="452"/>
      <c r="P2" s="453"/>
      <c r="Q2" s="503" t="s">
        <v>7</v>
      </c>
      <c r="R2" s="504"/>
      <c r="S2" s="505"/>
    </row>
    <row r="3" spans="1:19" ht="59.1" customHeight="1" thickBot="1" x14ac:dyDescent="0.3">
      <c r="A3" s="507"/>
      <c r="B3" s="2" t="s">
        <v>8</v>
      </c>
      <c r="C3" s="3" t="s">
        <v>9</v>
      </c>
      <c r="D3" s="509"/>
      <c r="E3" s="4" t="s">
        <v>10</v>
      </c>
      <c r="F3" s="4" t="s">
        <v>11</v>
      </c>
      <c r="G3" s="4" t="s">
        <v>12</v>
      </c>
      <c r="H3" s="4" t="s">
        <v>13</v>
      </c>
      <c r="I3" s="5" t="s">
        <v>14</v>
      </c>
      <c r="J3" s="5" t="s">
        <v>15</v>
      </c>
      <c r="K3" s="183" t="s">
        <v>16</v>
      </c>
      <c r="L3" s="5" t="s">
        <v>1002</v>
      </c>
      <c r="M3" s="5" t="s">
        <v>18</v>
      </c>
      <c r="N3" s="5" t="s">
        <v>19</v>
      </c>
      <c r="O3" s="5" t="s">
        <v>20</v>
      </c>
      <c r="P3" s="5" t="s">
        <v>21</v>
      </c>
      <c r="Q3" s="7" t="s">
        <v>22</v>
      </c>
      <c r="R3" s="8" t="s">
        <v>23</v>
      </c>
      <c r="S3" s="3" t="s">
        <v>24</v>
      </c>
    </row>
    <row r="4" spans="1:19" ht="18.95" customHeight="1" x14ac:dyDescent="0.25">
      <c r="A4" s="173" t="s">
        <v>165</v>
      </c>
      <c r="B4" s="21" t="s">
        <v>25</v>
      </c>
      <c r="C4" s="21" t="s">
        <v>25</v>
      </c>
      <c r="D4" s="21" t="s">
        <v>25</v>
      </c>
      <c r="E4" s="21" t="s">
        <v>25</v>
      </c>
      <c r="F4" s="21" t="s">
        <v>25</v>
      </c>
      <c r="G4" s="21" t="s">
        <v>25</v>
      </c>
      <c r="H4" s="21" t="s">
        <v>25</v>
      </c>
      <c r="I4" s="31" t="s">
        <v>25</v>
      </c>
      <c r="J4" s="31" t="s">
        <v>25</v>
      </c>
      <c r="K4" s="31" t="s">
        <v>25</v>
      </c>
      <c r="L4" s="31" t="s">
        <v>25</v>
      </c>
      <c r="M4" s="31" t="s">
        <v>25</v>
      </c>
      <c r="N4" s="31" t="s">
        <v>25</v>
      </c>
      <c r="O4" s="31" t="s">
        <v>25</v>
      </c>
      <c r="P4" s="31" t="s">
        <v>25</v>
      </c>
      <c r="Q4" s="194" t="s">
        <v>25</v>
      </c>
      <c r="R4" s="194" t="s">
        <v>25</v>
      </c>
      <c r="S4" s="27"/>
    </row>
    <row r="5" spans="1:19" s="32" customFormat="1" ht="18.95" customHeight="1" x14ac:dyDescent="0.25">
      <c r="A5" s="133" t="s">
        <v>950</v>
      </c>
      <c r="B5" s="187">
        <v>200</v>
      </c>
      <c r="C5" s="187">
        <v>200</v>
      </c>
      <c r="D5" s="11">
        <f>B5</f>
        <v>200</v>
      </c>
      <c r="E5" s="19">
        <f>E6*D5/D6</f>
        <v>0.16</v>
      </c>
      <c r="F5" s="19">
        <f>F6*D5/D6</f>
        <v>0.16</v>
      </c>
      <c r="G5" s="19">
        <f>G6*D5/D6</f>
        <v>27.88</v>
      </c>
      <c r="H5" s="19">
        <f>H6*D5/D6</f>
        <v>114.6</v>
      </c>
      <c r="I5" s="19">
        <f>I6*D5/D6</f>
        <v>1.2E-2</v>
      </c>
      <c r="J5" s="19">
        <f>J6*D5/D6</f>
        <v>0.9</v>
      </c>
      <c r="K5" s="19">
        <f>K6*D5/D6</f>
        <v>0</v>
      </c>
      <c r="L5" s="19">
        <f>L6*D5/D6</f>
        <v>0</v>
      </c>
      <c r="M5" s="19">
        <f>M6*D5/D6</f>
        <v>14.180000000000001</v>
      </c>
      <c r="N5" s="19">
        <f>N6*D5/D6</f>
        <v>4.4000000000000004</v>
      </c>
      <c r="O5" s="19">
        <f>O6*D5/D6</f>
        <v>5.14</v>
      </c>
      <c r="P5" s="19">
        <f>P6*D5/D6</f>
        <v>0.95199999999999996</v>
      </c>
      <c r="Q5" s="136">
        <v>342</v>
      </c>
      <c r="R5" s="136">
        <v>2011</v>
      </c>
      <c r="S5" s="187"/>
    </row>
    <row r="6" spans="1:19" s="32" customFormat="1" ht="18.95" customHeight="1" x14ac:dyDescent="0.25">
      <c r="A6" s="133" t="s">
        <v>1052</v>
      </c>
      <c r="B6" s="187"/>
      <c r="C6" s="187"/>
      <c r="D6" s="186">
        <v>1000</v>
      </c>
      <c r="E6" s="186">
        <v>0.8</v>
      </c>
      <c r="F6" s="186">
        <v>0.8</v>
      </c>
      <c r="G6" s="186">
        <v>139.4</v>
      </c>
      <c r="H6" s="186">
        <v>573</v>
      </c>
      <c r="I6" s="187">
        <v>0.06</v>
      </c>
      <c r="J6" s="187">
        <v>4.5</v>
      </c>
      <c r="K6" s="187">
        <v>0</v>
      </c>
      <c r="L6" s="187"/>
      <c r="M6" s="187">
        <v>70.900000000000006</v>
      </c>
      <c r="N6" s="187">
        <v>22</v>
      </c>
      <c r="O6" s="187">
        <v>25.7</v>
      </c>
      <c r="P6" s="187">
        <v>4.76</v>
      </c>
      <c r="Q6" s="136"/>
      <c r="R6" s="136"/>
      <c r="S6" s="187"/>
    </row>
    <row r="7" spans="1:19" s="32" customFormat="1" ht="18.95" customHeight="1" x14ac:dyDescent="0.25">
      <c r="A7" s="133" t="s">
        <v>1107</v>
      </c>
      <c r="B7" s="187">
        <v>200</v>
      </c>
      <c r="C7" s="187">
        <v>200</v>
      </c>
      <c r="D7" s="11">
        <f>B7</f>
        <v>200</v>
      </c>
      <c r="E7" s="19">
        <f>E8*D7/D8</f>
        <v>0.34599999999999997</v>
      </c>
      <c r="F7" s="19">
        <f>F8*D7/D8</f>
        <v>7.5999999999999998E-2</v>
      </c>
      <c r="G7" s="19">
        <f>G8*D7/D8</f>
        <v>29.85</v>
      </c>
      <c r="H7" s="19">
        <f>H8*D7/D8</f>
        <v>122.2</v>
      </c>
      <c r="I7" s="19">
        <f>I8*D7/D8</f>
        <v>2.1999999999999999E-2</v>
      </c>
      <c r="J7" s="19">
        <f>J8*D7/D8</f>
        <v>0</v>
      </c>
      <c r="K7" s="19">
        <f>K8*D7/D8</f>
        <v>0</v>
      </c>
      <c r="L7" s="19">
        <f>L8*D7/D8</f>
        <v>0</v>
      </c>
      <c r="M7" s="19">
        <f>M8*D7/D8</f>
        <v>20.32</v>
      </c>
      <c r="N7" s="19">
        <f>N8*D7/D8</f>
        <v>19.36</v>
      </c>
      <c r="O7" s="19">
        <f>O8*D7/D8</f>
        <v>8.1199999999999992</v>
      </c>
      <c r="P7" s="19">
        <f>P8*D7/D8</f>
        <v>0.45</v>
      </c>
      <c r="Q7" s="136">
        <v>348</v>
      </c>
      <c r="R7" s="136">
        <v>2011</v>
      </c>
      <c r="S7" s="187"/>
    </row>
    <row r="8" spans="1:19" s="32" customFormat="1" ht="18.95" customHeight="1" x14ac:dyDescent="0.25">
      <c r="A8" s="133" t="s">
        <v>1064</v>
      </c>
      <c r="B8" s="187"/>
      <c r="C8" s="187"/>
      <c r="D8" s="186">
        <v>1000</v>
      </c>
      <c r="E8" s="186">
        <v>1.73</v>
      </c>
      <c r="F8" s="186">
        <v>0.38</v>
      </c>
      <c r="G8" s="186">
        <v>149.25</v>
      </c>
      <c r="H8" s="186">
        <v>611</v>
      </c>
      <c r="I8" s="187">
        <v>0.11</v>
      </c>
      <c r="J8" s="187">
        <v>0</v>
      </c>
      <c r="K8" s="187">
        <v>0</v>
      </c>
      <c r="L8" s="187"/>
      <c r="M8" s="187">
        <v>101.6</v>
      </c>
      <c r="N8" s="187">
        <v>96.8</v>
      </c>
      <c r="O8" s="187">
        <v>40.6</v>
      </c>
      <c r="P8" s="187">
        <v>2.25</v>
      </c>
      <c r="Q8" s="136"/>
      <c r="R8" s="136"/>
      <c r="S8" s="187"/>
    </row>
    <row r="9" spans="1:19" s="32" customFormat="1" ht="18.95" customHeight="1" x14ac:dyDescent="0.25">
      <c r="A9" s="131" t="s">
        <v>55</v>
      </c>
      <c r="B9" s="187">
        <v>200</v>
      </c>
      <c r="C9" s="187">
        <v>200</v>
      </c>
      <c r="D9" s="11">
        <f>B9</f>
        <v>200</v>
      </c>
      <c r="E9" s="19">
        <f>E10*D9/D10</f>
        <v>0.66200000000000003</v>
      </c>
      <c r="F9" s="19">
        <f>F10*D9/D10</f>
        <v>0.09</v>
      </c>
      <c r="G9" s="19">
        <f>G10*D9/D10</f>
        <v>32.014000000000003</v>
      </c>
      <c r="H9" s="19">
        <f>H10*D9/D10</f>
        <v>132.80000000000001</v>
      </c>
      <c r="I9" s="19">
        <f>I10*D9/D10</f>
        <v>1.6E-2</v>
      </c>
      <c r="J9" s="19">
        <f>J10*D9/D10</f>
        <v>0.72599999999999998</v>
      </c>
      <c r="K9" s="19">
        <f>K10*D9/D10</f>
        <v>0</v>
      </c>
      <c r="L9" s="19">
        <f>L10*D9/D10</f>
        <v>0</v>
      </c>
      <c r="M9" s="19">
        <f>M10*D9/D10</f>
        <v>32.479999999999997</v>
      </c>
      <c r="N9" s="19">
        <f>N10*D9/D10</f>
        <v>23.44</v>
      </c>
      <c r="O9" s="19">
        <f>O10*D9/D10</f>
        <v>17.46</v>
      </c>
      <c r="P9" s="19">
        <f>P10*D9/D10</f>
        <v>0.69799999999999995</v>
      </c>
      <c r="Q9" s="136">
        <v>349</v>
      </c>
      <c r="R9" s="136">
        <v>2011</v>
      </c>
      <c r="S9" s="187"/>
    </row>
    <row r="10" spans="1:19" s="32" customFormat="1" ht="18.95" customHeight="1" x14ac:dyDescent="0.25">
      <c r="A10" s="131" t="s">
        <v>1042</v>
      </c>
      <c r="B10" s="187"/>
      <c r="C10" s="187"/>
      <c r="D10" s="186">
        <v>1000</v>
      </c>
      <c r="E10" s="187">
        <v>3.31</v>
      </c>
      <c r="F10" s="187">
        <v>0.45</v>
      </c>
      <c r="G10" s="187">
        <v>160.07</v>
      </c>
      <c r="H10" s="187">
        <v>664</v>
      </c>
      <c r="I10" s="186">
        <v>0.08</v>
      </c>
      <c r="J10" s="186">
        <v>3.63</v>
      </c>
      <c r="K10" s="186">
        <v>0</v>
      </c>
      <c r="L10" s="186"/>
      <c r="M10" s="186">
        <v>162.4</v>
      </c>
      <c r="N10" s="186">
        <v>117.2</v>
      </c>
      <c r="O10" s="186">
        <v>87.3</v>
      </c>
      <c r="P10" s="186">
        <v>3.49</v>
      </c>
      <c r="Q10" s="136"/>
      <c r="R10" s="136"/>
      <c r="S10" s="187"/>
    </row>
    <row r="11" spans="1:19" s="32" customFormat="1" ht="18.95" customHeight="1" x14ac:dyDescent="0.25">
      <c r="A11" s="131" t="s">
        <v>1084</v>
      </c>
      <c r="B11" s="187">
        <v>200</v>
      </c>
      <c r="C11" s="187">
        <v>200</v>
      </c>
      <c r="D11" s="11">
        <f>B11</f>
        <v>200</v>
      </c>
      <c r="E11" s="19">
        <f>E12*D11/D12</f>
        <v>0.14799999999999999</v>
      </c>
      <c r="F11" s="19">
        <f>F12*D11/D12</f>
        <v>0.08</v>
      </c>
      <c r="G11" s="19">
        <f>G12*D11/D12</f>
        <v>24.492000000000001</v>
      </c>
      <c r="H11" s="19">
        <f>H12*D11/D12</f>
        <v>114.6</v>
      </c>
      <c r="I11" s="19">
        <f>I12*D11/D12</f>
        <v>6.0000000000000001E-3</v>
      </c>
      <c r="J11" s="19">
        <f>J12*D11/D12</f>
        <v>24</v>
      </c>
      <c r="K11" s="19">
        <f>K12*D11/D12</f>
        <v>0</v>
      </c>
      <c r="L11" s="19">
        <f>L12*D11/D12</f>
        <v>0</v>
      </c>
      <c r="M11" s="19">
        <f>M12*D11/D12</f>
        <v>14</v>
      </c>
      <c r="N11" s="19">
        <f>N12*D11/D12</f>
        <v>8.94</v>
      </c>
      <c r="O11" s="19">
        <f>O12*D11/D12</f>
        <v>5.58</v>
      </c>
      <c r="P11" s="19">
        <f>P12*D11/D12</f>
        <v>0.13800000000000001</v>
      </c>
      <c r="Q11" s="136">
        <v>350</v>
      </c>
      <c r="R11" s="136">
        <v>2011</v>
      </c>
      <c r="S11" s="187"/>
    </row>
    <row r="12" spans="1:19" s="32" customFormat="1" ht="18.95" customHeight="1" x14ac:dyDescent="0.25">
      <c r="A12" s="131" t="s">
        <v>1043</v>
      </c>
      <c r="B12" s="187"/>
      <c r="C12" s="187"/>
      <c r="D12" s="186">
        <v>1000</v>
      </c>
      <c r="E12" s="186">
        <v>0.74</v>
      </c>
      <c r="F12" s="186">
        <v>0.4</v>
      </c>
      <c r="G12" s="186">
        <v>122.46</v>
      </c>
      <c r="H12" s="186">
        <v>573</v>
      </c>
      <c r="I12" s="186">
        <v>0.03</v>
      </c>
      <c r="J12" s="186">
        <v>120</v>
      </c>
      <c r="K12" s="186">
        <v>0</v>
      </c>
      <c r="L12" s="186"/>
      <c r="M12" s="186">
        <v>70</v>
      </c>
      <c r="N12" s="186">
        <v>44.7</v>
      </c>
      <c r="O12" s="186">
        <v>27.9</v>
      </c>
      <c r="P12" s="186">
        <v>0.69</v>
      </c>
      <c r="Q12" s="136"/>
      <c r="R12" s="136"/>
      <c r="S12" s="187"/>
    </row>
    <row r="13" spans="1:19" s="105" customFormat="1" ht="30" customHeight="1" x14ac:dyDescent="0.25">
      <c r="A13" s="131" t="s">
        <v>1037</v>
      </c>
      <c r="B13" s="187">
        <v>200</v>
      </c>
      <c r="C13" s="187" t="s">
        <v>56</v>
      </c>
      <c r="D13" s="11">
        <f>B13</f>
        <v>200</v>
      </c>
      <c r="E13" s="19">
        <f>E14*D13/D14</f>
        <v>7.0000000000000007E-2</v>
      </c>
      <c r="F13" s="19">
        <f>F14*D13/D14</f>
        <v>0.02</v>
      </c>
      <c r="G13" s="19">
        <f>G14*D13/D14</f>
        <v>15</v>
      </c>
      <c r="H13" s="19">
        <f>H14*D13/D14</f>
        <v>60</v>
      </c>
      <c r="I13" s="19">
        <f>I14*D13/D14</f>
        <v>0</v>
      </c>
      <c r="J13" s="19">
        <f>J14*D13/D14</f>
        <v>0.03</v>
      </c>
      <c r="K13" s="19">
        <f>K14*D13/D14</f>
        <v>0</v>
      </c>
      <c r="L13" s="19">
        <f>L14*D13/D14</f>
        <v>0</v>
      </c>
      <c r="M13" s="19">
        <f>M14*D13/D14</f>
        <v>11.1</v>
      </c>
      <c r="N13" s="19">
        <f>N14*D13/D14</f>
        <v>2.8</v>
      </c>
      <c r="O13" s="19">
        <f>O14*D13/D14</f>
        <v>1.4</v>
      </c>
      <c r="P13" s="19">
        <f>P14*D13/D14</f>
        <v>0.28000000000000003</v>
      </c>
      <c r="Q13" s="136">
        <v>376</v>
      </c>
      <c r="R13" s="136">
        <v>2011</v>
      </c>
      <c r="S13" s="187"/>
    </row>
    <row r="14" spans="1:19" s="32" customFormat="1" ht="18.95" customHeight="1" x14ac:dyDescent="0.25">
      <c r="A14" s="133"/>
      <c r="B14" s="187"/>
      <c r="C14" s="187"/>
      <c r="D14" s="186">
        <v>200</v>
      </c>
      <c r="E14" s="186">
        <v>7.0000000000000007E-2</v>
      </c>
      <c r="F14" s="186">
        <v>0.02</v>
      </c>
      <c r="G14" s="186">
        <v>15</v>
      </c>
      <c r="H14" s="186">
        <v>60</v>
      </c>
      <c r="I14" s="186">
        <v>0</v>
      </c>
      <c r="J14" s="186">
        <v>0.03</v>
      </c>
      <c r="K14" s="186">
        <v>0</v>
      </c>
      <c r="L14" s="186"/>
      <c r="M14" s="186">
        <v>11.1</v>
      </c>
      <c r="N14" s="186">
        <v>2.8</v>
      </c>
      <c r="O14" s="186">
        <v>1.4</v>
      </c>
      <c r="P14" s="186">
        <v>0.28000000000000003</v>
      </c>
      <c r="Q14" s="136"/>
      <c r="R14" s="136"/>
      <c r="S14" s="187"/>
    </row>
    <row r="15" spans="1:19" s="32" customFormat="1" ht="18.95" customHeight="1" x14ac:dyDescent="0.25">
      <c r="A15" s="133" t="s">
        <v>57</v>
      </c>
      <c r="B15" s="187">
        <v>200</v>
      </c>
      <c r="C15" s="187" t="s">
        <v>58</v>
      </c>
      <c r="D15" s="11">
        <f>B15</f>
        <v>200</v>
      </c>
      <c r="E15" s="19">
        <f>E16*D15/D16</f>
        <v>0.13</v>
      </c>
      <c r="F15" s="19">
        <f>F16*D15/D16</f>
        <v>0.02</v>
      </c>
      <c r="G15" s="19">
        <f>G16*D15/D16</f>
        <v>15.2</v>
      </c>
      <c r="H15" s="19">
        <f>H16*D15/D16</f>
        <v>62</v>
      </c>
      <c r="I15" s="19">
        <f>I16*D15/D16</f>
        <v>0</v>
      </c>
      <c r="J15" s="19">
        <f>J16*D15/D16</f>
        <v>2.83</v>
      </c>
      <c r="K15" s="19">
        <f>K16*D15/D16</f>
        <v>0</v>
      </c>
      <c r="L15" s="19">
        <f>L16*D15/D16</f>
        <v>0</v>
      </c>
      <c r="M15" s="19">
        <f>M16*D15/D16</f>
        <v>14.2</v>
      </c>
      <c r="N15" s="19">
        <f>N16*D15/D16</f>
        <v>4.4000000000000004</v>
      </c>
      <c r="O15" s="19">
        <f>O16*D15/D16</f>
        <v>2.4</v>
      </c>
      <c r="P15" s="19">
        <f>P16*D15/D16</f>
        <v>0.36</v>
      </c>
      <c r="Q15" s="136">
        <v>377</v>
      </c>
      <c r="R15" s="136">
        <v>2011</v>
      </c>
      <c r="S15" s="187"/>
    </row>
    <row r="16" spans="1:19" s="32" customFormat="1" ht="18.95" customHeight="1" x14ac:dyDescent="0.25">
      <c r="A16" s="133"/>
      <c r="B16" s="187"/>
      <c r="C16" s="187"/>
      <c r="D16" s="186">
        <v>200</v>
      </c>
      <c r="E16" s="186">
        <v>0.13</v>
      </c>
      <c r="F16" s="186">
        <v>0.02</v>
      </c>
      <c r="G16" s="186">
        <v>15.2</v>
      </c>
      <c r="H16" s="186">
        <v>62</v>
      </c>
      <c r="I16" s="187">
        <v>0</v>
      </c>
      <c r="J16" s="187">
        <v>2.83</v>
      </c>
      <c r="K16" s="187">
        <v>0</v>
      </c>
      <c r="L16" s="187"/>
      <c r="M16" s="187">
        <v>14.2</v>
      </c>
      <c r="N16" s="187">
        <v>4.4000000000000004</v>
      </c>
      <c r="O16" s="187">
        <v>2.4</v>
      </c>
      <c r="P16" s="187">
        <v>0.36</v>
      </c>
      <c r="Q16" s="136"/>
      <c r="R16" s="136"/>
      <c r="S16" s="187"/>
    </row>
    <row r="17" spans="1:19" s="105" customFormat="1" ht="18.95" customHeight="1" x14ac:dyDescent="0.25">
      <c r="A17" s="133" t="s">
        <v>59</v>
      </c>
      <c r="B17" s="187">
        <v>200</v>
      </c>
      <c r="C17" s="187" t="s">
        <v>845</v>
      </c>
      <c r="D17" s="11">
        <f>B17</f>
        <v>200</v>
      </c>
      <c r="E17" s="19">
        <f>E18*D17/D18</f>
        <v>1.52</v>
      </c>
      <c r="F17" s="19">
        <f>F18*D17/D18</f>
        <v>1.35</v>
      </c>
      <c r="G17" s="19">
        <f>G18*D17/D18</f>
        <v>15.9</v>
      </c>
      <c r="H17" s="19">
        <f>H18*D17/D18</f>
        <v>81</v>
      </c>
      <c r="I17" s="19">
        <f>I18*D17/D18</f>
        <v>0.04</v>
      </c>
      <c r="J17" s="19">
        <f>J18*D17/D18</f>
        <v>1.33</v>
      </c>
      <c r="K17" s="19">
        <f>K18*D17/D18</f>
        <v>10</v>
      </c>
      <c r="L17" s="19">
        <f>L18*D17/D18</f>
        <v>0</v>
      </c>
      <c r="M17" s="19">
        <f>M18*D17/D18</f>
        <v>126.6</v>
      </c>
      <c r="N17" s="19">
        <f>N18*D17/D18</f>
        <v>92.8</v>
      </c>
      <c r="O17" s="19">
        <f>O18*D17/D18</f>
        <v>15.4</v>
      </c>
      <c r="P17" s="19">
        <f>P18*D17/D18</f>
        <v>0.41</v>
      </c>
      <c r="Q17" s="136">
        <v>378</v>
      </c>
      <c r="R17" s="136">
        <v>2011</v>
      </c>
      <c r="S17" s="187"/>
    </row>
    <row r="18" spans="1:19" s="32" customFormat="1" ht="18.95" customHeight="1" x14ac:dyDescent="0.25">
      <c r="A18" s="193"/>
      <c r="B18" s="187"/>
      <c r="C18" s="187"/>
      <c r="D18" s="186">
        <v>200</v>
      </c>
      <c r="E18" s="186">
        <v>1.52</v>
      </c>
      <c r="F18" s="186">
        <v>1.35</v>
      </c>
      <c r="G18" s="186">
        <v>15.9</v>
      </c>
      <c r="H18" s="186">
        <v>81</v>
      </c>
      <c r="I18" s="186">
        <v>0.04</v>
      </c>
      <c r="J18" s="186">
        <v>1.33</v>
      </c>
      <c r="K18" s="186">
        <v>10</v>
      </c>
      <c r="L18" s="186"/>
      <c r="M18" s="186">
        <v>126.6</v>
      </c>
      <c r="N18" s="186">
        <v>92.8</v>
      </c>
      <c r="O18" s="186">
        <v>15.4</v>
      </c>
      <c r="P18" s="186">
        <v>0.41</v>
      </c>
      <c r="Q18" s="136"/>
      <c r="R18" s="136"/>
      <c r="S18" s="187"/>
    </row>
    <row r="19" spans="1:19" s="32" customFormat="1" ht="18.95" customHeight="1" x14ac:dyDescent="0.25">
      <c r="A19" s="129" t="s">
        <v>161</v>
      </c>
      <c r="B19" s="187">
        <v>200</v>
      </c>
      <c r="C19" s="187">
        <v>200</v>
      </c>
      <c r="D19" s="11">
        <f>B19</f>
        <v>200</v>
      </c>
      <c r="E19" s="19">
        <f>E20*D19/D20</f>
        <v>3.1659999999999999</v>
      </c>
      <c r="F19" s="19">
        <f>F20*D19/D20</f>
        <v>2.6779999999999999</v>
      </c>
      <c r="G19" s="19">
        <f>G20*D19/D20</f>
        <v>15.946</v>
      </c>
      <c r="H19" s="19">
        <f>H20*D19/D20</f>
        <v>100.6</v>
      </c>
      <c r="I19" s="19">
        <f>I20*D19/D20</f>
        <v>4.3999999999999997E-2</v>
      </c>
      <c r="J19" s="19">
        <f>J20*D19/D20</f>
        <v>1.3</v>
      </c>
      <c r="K19" s="19">
        <f>K20*D19/D20</f>
        <v>20</v>
      </c>
      <c r="L19" s="19">
        <f>L20*D19/D20</f>
        <v>0</v>
      </c>
      <c r="M19" s="19">
        <f>M20*D19/D20</f>
        <v>125.78</v>
      </c>
      <c r="N19" s="19">
        <f>N20*D19/D20</f>
        <v>90</v>
      </c>
      <c r="O19" s="19">
        <f>O20*D19/D20</f>
        <v>14</v>
      </c>
      <c r="P19" s="19">
        <f>P20*D19/D20</f>
        <v>0.13400000000000001</v>
      </c>
      <c r="Q19" s="136">
        <v>379</v>
      </c>
      <c r="R19" s="136">
        <v>2011</v>
      </c>
      <c r="S19" s="187"/>
    </row>
    <row r="20" spans="1:19" s="32" customFormat="1" ht="18.95" customHeight="1" x14ac:dyDescent="0.25">
      <c r="A20" s="193"/>
      <c r="B20" s="187"/>
      <c r="C20" s="187"/>
      <c r="D20" s="186">
        <v>1000</v>
      </c>
      <c r="E20" s="186">
        <v>15.83</v>
      </c>
      <c r="F20" s="186">
        <v>13.39</v>
      </c>
      <c r="G20" s="186">
        <v>79.73</v>
      </c>
      <c r="H20" s="186">
        <v>503</v>
      </c>
      <c r="I20" s="187">
        <v>0.22</v>
      </c>
      <c r="J20" s="187">
        <v>6.5</v>
      </c>
      <c r="K20" s="187">
        <v>100</v>
      </c>
      <c r="L20" s="187"/>
      <c r="M20" s="187">
        <v>628.9</v>
      </c>
      <c r="N20" s="187">
        <v>450</v>
      </c>
      <c r="O20" s="187">
        <v>70</v>
      </c>
      <c r="P20" s="187">
        <v>0.67</v>
      </c>
      <c r="Q20" s="136"/>
      <c r="R20" s="136"/>
      <c r="S20" s="187"/>
    </row>
    <row r="21" spans="1:19" s="32" customFormat="1" ht="18.95" customHeight="1" x14ac:dyDescent="0.25">
      <c r="A21" s="129" t="s">
        <v>60</v>
      </c>
      <c r="B21" s="187">
        <v>200</v>
      </c>
      <c r="C21" s="187">
        <v>200</v>
      </c>
      <c r="D21" s="11">
        <f>B21</f>
        <v>200</v>
      </c>
      <c r="E21" s="19">
        <f>E22*D21/D22</f>
        <v>2.944</v>
      </c>
      <c r="F21" s="19">
        <f>F22*D21/D22</f>
        <v>1.988</v>
      </c>
      <c r="G21" s="19">
        <f>G22*D21/D22</f>
        <v>20.922000000000001</v>
      </c>
      <c r="H21" s="19">
        <f>H22*D21/D22</f>
        <v>113.4</v>
      </c>
      <c r="I21" s="19">
        <f>I22*D21/D22</f>
        <v>2.1999999999999999E-2</v>
      </c>
      <c r="J21" s="19">
        <f>J22*D21/D22</f>
        <v>0.38</v>
      </c>
      <c r="K21" s="19">
        <f>K22*D21/D22</f>
        <v>10</v>
      </c>
      <c r="L21" s="19">
        <f>L22*D21/D22</f>
        <v>0</v>
      </c>
      <c r="M21" s="19">
        <f>M22*D21/D22</f>
        <v>128.78</v>
      </c>
      <c r="N21" s="19">
        <f>N22*D21/D22</f>
        <v>86.56</v>
      </c>
      <c r="O21" s="19">
        <f>O22*D21/D22</f>
        <v>12.880000000000003</v>
      </c>
      <c r="P21" s="19">
        <f>P22*D21/D22</f>
        <v>7.8E-2</v>
      </c>
      <c r="Q21" s="136">
        <v>380</v>
      </c>
      <c r="R21" s="136">
        <v>2011</v>
      </c>
      <c r="S21" s="187"/>
    </row>
    <row r="22" spans="1:19" s="32" customFormat="1" ht="18.95" customHeight="1" x14ac:dyDescent="0.25">
      <c r="A22" s="133"/>
      <c r="B22" s="187"/>
      <c r="C22" s="187"/>
      <c r="D22" s="186">
        <v>1000</v>
      </c>
      <c r="E22" s="186">
        <v>14.72</v>
      </c>
      <c r="F22" s="186">
        <v>9.94</v>
      </c>
      <c r="G22" s="186">
        <v>104.61</v>
      </c>
      <c r="H22" s="186">
        <v>567</v>
      </c>
      <c r="I22" s="187">
        <v>0.11</v>
      </c>
      <c r="J22" s="187">
        <v>1.9</v>
      </c>
      <c r="K22" s="187">
        <v>50</v>
      </c>
      <c r="L22" s="187"/>
      <c r="M22" s="187">
        <v>643.9</v>
      </c>
      <c r="N22" s="187">
        <v>432.8</v>
      </c>
      <c r="O22" s="187">
        <v>64.400000000000006</v>
      </c>
      <c r="P22" s="187">
        <v>0.39</v>
      </c>
      <c r="Q22" s="136"/>
      <c r="R22" s="136"/>
      <c r="S22" s="187"/>
    </row>
    <row r="23" spans="1:19" s="32" customFormat="1" ht="18.95" customHeight="1" x14ac:dyDescent="0.25">
      <c r="A23" s="131" t="s">
        <v>162</v>
      </c>
      <c r="B23" s="187">
        <v>200</v>
      </c>
      <c r="C23" s="187">
        <v>200</v>
      </c>
      <c r="D23" s="11">
        <f>B23</f>
        <v>200</v>
      </c>
      <c r="E23" s="19">
        <f>E24*D23/D24</f>
        <v>4.0780000000000003</v>
      </c>
      <c r="F23" s="19">
        <f>F24*D23/D24</f>
        <v>3.544</v>
      </c>
      <c r="G23" s="19">
        <f>G24*D23/D24</f>
        <v>17.577999999999999</v>
      </c>
      <c r="H23" s="19">
        <f>H24*D23/D24</f>
        <v>118.6</v>
      </c>
      <c r="I23" s="19">
        <f>I24*D23/D24</f>
        <v>5.6000000000000008E-2</v>
      </c>
      <c r="J23" s="19">
        <f>J24*D23/D24</f>
        <v>1.5880000000000001</v>
      </c>
      <c r="K23" s="19">
        <f>K24*D23/D24</f>
        <v>24.4</v>
      </c>
      <c r="L23" s="19">
        <f>L24*D23/D24</f>
        <v>0</v>
      </c>
      <c r="M23" s="19">
        <f>M24*D23/D24</f>
        <v>152.22</v>
      </c>
      <c r="N23" s="19">
        <f>N24*D23/D24</f>
        <v>124.55999999999999</v>
      </c>
      <c r="O23" s="19">
        <f>O24*D23/D24</f>
        <v>21.34</v>
      </c>
      <c r="P23" s="19">
        <f>P24*D23/D24</f>
        <v>0.47799999999999998</v>
      </c>
      <c r="Q23" s="136">
        <v>382</v>
      </c>
      <c r="R23" s="136">
        <v>2011</v>
      </c>
      <c r="S23" s="187"/>
    </row>
    <row r="24" spans="1:19" s="32" customFormat="1" ht="18.95" customHeight="1" x14ac:dyDescent="0.25">
      <c r="A24" s="131"/>
      <c r="B24" s="187"/>
      <c r="C24" s="187"/>
      <c r="D24" s="186">
        <v>1000</v>
      </c>
      <c r="E24" s="186">
        <v>20.39</v>
      </c>
      <c r="F24" s="186">
        <v>17.72</v>
      </c>
      <c r="G24" s="186">
        <v>87.89</v>
      </c>
      <c r="H24" s="186">
        <v>593</v>
      </c>
      <c r="I24" s="186">
        <v>0.28000000000000003</v>
      </c>
      <c r="J24" s="186">
        <v>7.94</v>
      </c>
      <c r="K24" s="186">
        <v>122</v>
      </c>
      <c r="L24" s="186"/>
      <c r="M24" s="186">
        <v>761.1</v>
      </c>
      <c r="N24" s="186">
        <v>622.79999999999995</v>
      </c>
      <c r="O24" s="186">
        <v>106.7</v>
      </c>
      <c r="P24" s="186">
        <v>2.39</v>
      </c>
      <c r="Q24" s="136"/>
      <c r="R24" s="136"/>
      <c r="S24" s="187"/>
    </row>
    <row r="25" spans="1:19" s="105" customFormat="1" ht="18.95" customHeight="1" x14ac:dyDescent="0.25">
      <c r="A25" s="131" t="s">
        <v>61</v>
      </c>
      <c r="B25" s="187">
        <v>200</v>
      </c>
      <c r="C25" s="187">
        <v>200</v>
      </c>
      <c r="D25" s="11">
        <f>B25</f>
        <v>200</v>
      </c>
      <c r="E25" s="19">
        <f>E26*D25/D26</f>
        <v>4.1879999999999997</v>
      </c>
      <c r="F25" s="19">
        <f>F26*D25/D26</f>
        <v>4.3339999999999996</v>
      </c>
      <c r="G25" s="19">
        <f>G26*D25/D26</f>
        <v>25.446000000000002</v>
      </c>
      <c r="H25" s="19">
        <f>H26*D25/D26</f>
        <v>157.6</v>
      </c>
      <c r="I25" s="19">
        <f>I26*D25/D26</f>
        <v>3.2000000000000001E-2</v>
      </c>
      <c r="J25" s="19">
        <f>J26*D25/D26</f>
        <v>0.55200000000000005</v>
      </c>
      <c r="K25" s="19">
        <f>K26*D25/D26</f>
        <v>1.4000000000000002E-2</v>
      </c>
      <c r="L25" s="19">
        <f>L26*D25/D26</f>
        <v>0</v>
      </c>
      <c r="M25" s="19">
        <f>M26*D25/D26</f>
        <v>119.36400000000002</v>
      </c>
      <c r="N25" s="19">
        <f>N26*D25/D26</f>
        <v>124.68</v>
      </c>
      <c r="O25" s="19">
        <f>O26*D25/D26</f>
        <v>22.096</v>
      </c>
      <c r="P25" s="19">
        <f>P26*D25/D26</f>
        <v>0.62</v>
      </c>
      <c r="Q25" s="136">
        <v>383</v>
      </c>
      <c r="R25" s="136">
        <v>2011</v>
      </c>
      <c r="S25" s="187"/>
    </row>
    <row r="26" spans="1:19" s="32" customFormat="1" ht="18.95" customHeight="1" x14ac:dyDescent="0.25">
      <c r="A26" s="131" t="s">
        <v>1116</v>
      </c>
      <c r="B26" s="187"/>
      <c r="C26" s="187"/>
      <c r="D26" s="186">
        <v>1000</v>
      </c>
      <c r="E26" s="186">
        <v>20.94</v>
      </c>
      <c r="F26" s="186">
        <v>21.67</v>
      </c>
      <c r="G26" s="186">
        <v>127.23</v>
      </c>
      <c r="H26" s="186">
        <v>788</v>
      </c>
      <c r="I26" s="186">
        <v>0.16</v>
      </c>
      <c r="J26" s="186">
        <v>2.76</v>
      </c>
      <c r="K26" s="186">
        <v>7.0000000000000007E-2</v>
      </c>
      <c r="L26" s="186"/>
      <c r="M26" s="186">
        <v>596.82000000000005</v>
      </c>
      <c r="N26" s="186">
        <v>623.4</v>
      </c>
      <c r="O26" s="186">
        <v>110.48</v>
      </c>
      <c r="P26" s="186">
        <v>3.1</v>
      </c>
      <c r="Q26" s="136"/>
      <c r="R26" s="136"/>
      <c r="S26" s="187"/>
    </row>
    <row r="27" spans="1:19" s="32" customFormat="1" ht="18.95" customHeight="1" x14ac:dyDescent="0.25">
      <c r="A27" s="133" t="s">
        <v>999</v>
      </c>
      <c r="B27" s="187">
        <v>200</v>
      </c>
      <c r="C27" s="187">
        <v>200</v>
      </c>
      <c r="D27" s="11">
        <f>B27</f>
        <v>200</v>
      </c>
      <c r="E27" s="19">
        <f>E28*D27/D28</f>
        <v>5.8</v>
      </c>
      <c r="F27" s="19">
        <f>F28*D27/D28</f>
        <v>5</v>
      </c>
      <c r="G27" s="19">
        <f>G28*D27/D28</f>
        <v>9.6</v>
      </c>
      <c r="H27" s="19">
        <f>H28*D27/D28</f>
        <v>107</v>
      </c>
      <c r="I27" s="19">
        <f>I28*D27/D28</f>
        <v>0.08</v>
      </c>
      <c r="J27" s="19">
        <f>J28*D27/D28</f>
        <v>2.6</v>
      </c>
      <c r="K27" s="19">
        <f>K28*D27/D28</f>
        <v>40</v>
      </c>
      <c r="L27" s="19">
        <f>L28*D27/D28</f>
        <v>0</v>
      </c>
      <c r="M27" s="19">
        <f>M28*D27/D28</f>
        <v>240</v>
      </c>
      <c r="N27" s="19">
        <f>N28*D27/D28</f>
        <v>180</v>
      </c>
      <c r="O27" s="19">
        <f>O28*D27/D28</f>
        <v>28</v>
      </c>
      <c r="P27" s="19">
        <f>P28*D27/D28</f>
        <v>0.2</v>
      </c>
      <c r="Q27" s="136" t="s">
        <v>31</v>
      </c>
      <c r="R27" s="136">
        <v>2011</v>
      </c>
      <c r="S27" s="187">
        <v>385</v>
      </c>
    </row>
    <row r="28" spans="1:19" s="23" customFormat="1" ht="18.95" customHeight="1" x14ac:dyDescent="0.25">
      <c r="A28" s="193"/>
      <c r="B28" s="187"/>
      <c r="C28" s="187"/>
      <c r="D28" s="186">
        <v>200</v>
      </c>
      <c r="E28" s="186">
        <v>5.8</v>
      </c>
      <c r="F28" s="186">
        <v>5</v>
      </c>
      <c r="G28" s="186">
        <v>9.6</v>
      </c>
      <c r="H28" s="186">
        <v>107</v>
      </c>
      <c r="I28" s="186">
        <v>0.08</v>
      </c>
      <c r="J28" s="186">
        <v>2.6</v>
      </c>
      <c r="K28" s="186">
        <v>40</v>
      </c>
      <c r="L28" s="186"/>
      <c r="M28" s="186">
        <v>240</v>
      </c>
      <c r="N28" s="186">
        <v>180</v>
      </c>
      <c r="O28" s="186">
        <v>28</v>
      </c>
      <c r="P28" s="186">
        <v>0.2</v>
      </c>
      <c r="Q28" s="136"/>
      <c r="R28" s="136"/>
      <c r="S28" s="187"/>
    </row>
    <row r="29" spans="1:19" s="23" customFormat="1" ht="30" customHeight="1" x14ac:dyDescent="0.25">
      <c r="A29" s="131" t="s">
        <v>949</v>
      </c>
      <c r="B29" s="187">
        <v>200</v>
      </c>
      <c r="C29" s="187">
        <v>200</v>
      </c>
      <c r="D29" s="11">
        <f>B29</f>
        <v>200</v>
      </c>
      <c r="E29" s="19">
        <f>E30*D29/D30</f>
        <v>5.8</v>
      </c>
      <c r="F29" s="19">
        <f>F30*D29/D30</f>
        <v>5</v>
      </c>
      <c r="G29" s="19">
        <f>G30*D29/D30</f>
        <v>8</v>
      </c>
      <c r="H29" s="19">
        <f>H30*D29/D30</f>
        <v>100</v>
      </c>
      <c r="I29" s="19">
        <f>I30*D29/D30</f>
        <v>0.08</v>
      </c>
      <c r="J29" s="19">
        <f>J30*D29/D30</f>
        <v>40</v>
      </c>
      <c r="K29" s="19">
        <f>K30*D29/D30</f>
        <v>40</v>
      </c>
      <c r="L29" s="19">
        <f>L30*D29/D30</f>
        <v>0</v>
      </c>
      <c r="M29" s="19">
        <f>M30*D29/D30</f>
        <v>240</v>
      </c>
      <c r="N29" s="19">
        <f>N30*D29/D30</f>
        <v>180</v>
      </c>
      <c r="O29" s="19">
        <f>O30*D29/D30</f>
        <v>28</v>
      </c>
      <c r="P29" s="19">
        <f>P30*D29/D30</f>
        <v>0.2</v>
      </c>
      <c r="Q29" s="136">
        <v>386</v>
      </c>
      <c r="R29" s="136">
        <v>2011</v>
      </c>
      <c r="S29" s="187"/>
    </row>
    <row r="30" spans="1:19" s="23" customFormat="1" ht="18.95" customHeight="1" x14ac:dyDescent="0.25">
      <c r="A30" s="133"/>
      <c r="B30" s="187"/>
      <c r="C30" s="187"/>
      <c r="D30" s="186">
        <v>200</v>
      </c>
      <c r="E30" s="186">
        <v>5.8</v>
      </c>
      <c r="F30" s="186">
        <v>5</v>
      </c>
      <c r="G30" s="186">
        <v>8</v>
      </c>
      <c r="H30" s="186">
        <v>100</v>
      </c>
      <c r="I30" s="186">
        <v>0.08</v>
      </c>
      <c r="J30" s="186">
        <v>40</v>
      </c>
      <c r="K30" s="186">
        <v>40</v>
      </c>
      <c r="L30" s="186"/>
      <c r="M30" s="186">
        <v>240</v>
      </c>
      <c r="N30" s="186">
        <v>180</v>
      </c>
      <c r="O30" s="186">
        <v>28</v>
      </c>
      <c r="P30" s="186">
        <v>0.2</v>
      </c>
      <c r="Q30" s="136"/>
      <c r="R30" s="136"/>
      <c r="S30" s="187"/>
    </row>
    <row r="31" spans="1:19" s="32" customFormat="1" ht="18.95" customHeight="1" x14ac:dyDescent="0.25">
      <c r="A31" s="133" t="s">
        <v>62</v>
      </c>
      <c r="B31" s="187">
        <v>200</v>
      </c>
      <c r="C31" s="187">
        <v>200</v>
      </c>
      <c r="D31" s="11">
        <f>B31</f>
        <v>200</v>
      </c>
      <c r="E31" s="19">
        <f>E32*D31/D32</f>
        <v>0.67800000000000005</v>
      </c>
      <c r="F31" s="19">
        <f>F32*D31/D32</f>
        <v>0.27800000000000002</v>
      </c>
      <c r="G31" s="19">
        <f>G32*D31/D32</f>
        <v>20.76</v>
      </c>
      <c r="H31" s="19">
        <f>H32*D31/D32</f>
        <v>88.2</v>
      </c>
      <c r="I31" s="19">
        <f>I32*D31/D32</f>
        <v>1.2E-2</v>
      </c>
      <c r="J31" s="19">
        <f>J32*D31/D32</f>
        <v>100</v>
      </c>
      <c r="K31" s="19">
        <f>K32*D31/D32</f>
        <v>0</v>
      </c>
      <c r="L31" s="19">
        <f>L32*D31/D32</f>
        <v>0</v>
      </c>
      <c r="M31" s="19">
        <f>M32*D31/D32</f>
        <v>21.34</v>
      </c>
      <c r="N31" s="19">
        <f>N32*D31/D32</f>
        <v>3.44</v>
      </c>
      <c r="O31" s="19">
        <f>O32*D31/D32</f>
        <v>3.44</v>
      </c>
      <c r="P31" s="19">
        <f>P32*D31/D32</f>
        <v>0.63400000000000001</v>
      </c>
      <c r="Q31" s="136">
        <v>388</v>
      </c>
      <c r="R31" s="136">
        <v>2011</v>
      </c>
      <c r="S31" s="187"/>
    </row>
    <row r="32" spans="1:19" s="32" customFormat="1" ht="18.95" customHeight="1" x14ac:dyDescent="0.25">
      <c r="A32" s="133"/>
      <c r="B32" s="187"/>
      <c r="C32" s="187"/>
      <c r="D32" s="186">
        <v>1000</v>
      </c>
      <c r="E32" s="186">
        <v>3.39</v>
      </c>
      <c r="F32" s="186">
        <v>1.39</v>
      </c>
      <c r="G32" s="186">
        <v>103.8</v>
      </c>
      <c r="H32" s="186">
        <v>441</v>
      </c>
      <c r="I32" s="187">
        <v>0.06</v>
      </c>
      <c r="J32" s="187">
        <v>500</v>
      </c>
      <c r="K32" s="187">
        <v>0</v>
      </c>
      <c r="L32" s="187"/>
      <c r="M32" s="187">
        <v>106.7</v>
      </c>
      <c r="N32" s="187">
        <v>17.2</v>
      </c>
      <c r="O32" s="187">
        <v>17.2</v>
      </c>
      <c r="P32" s="187">
        <v>3.17</v>
      </c>
      <c r="Q32" s="136"/>
      <c r="R32" s="136"/>
      <c r="S32" s="187"/>
    </row>
    <row r="33" spans="1:19" s="32" customFormat="1" ht="18.95" customHeight="1" x14ac:dyDescent="0.25">
      <c r="A33" s="133" t="s">
        <v>1125</v>
      </c>
      <c r="B33" s="187">
        <v>200</v>
      </c>
      <c r="C33" s="187">
        <v>200</v>
      </c>
      <c r="D33" s="11">
        <f>B33</f>
        <v>200</v>
      </c>
      <c r="E33" s="19">
        <f>E34*D33/D34</f>
        <v>1</v>
      </c>
      <c r="F33" s="19">
        <f>F34*D33/D34</f>
        <v>0.2</v>
      </c>
      <c r="G33" s="19">
        <f>G34*D33/D34</f>
        <v>20.2</v>
      </c>
      <c r="H33" s="19">
        <f>H34*D33/D34</f>
        <v>86.6</v>
      </c>
      <c r="I33" s="19">
        <f>I34*D33/D34</f>
        <v>0.02</v>
      </c>
      <c r="J33" s="19">
        <f>J34*D33/D34</f>
        <v>4</v>
      </c>
      <c r="K33" s="19">
        <f>K34*D33/D34</f>
        <v>0</v>
      </c>
      <c r="L33" s="19">
        <f>L34*D33/D34</f>
        <v>0.2</v>
      </c>
      <c r="M33" s="19">
        <f>M34*D33/D34</f>
        <v>14</v>
      </c>
      <c r="N33" s="19">
        <f>N34*D33/D34</f>
        <v>14</v>
      </c>
      <c r="O33" s="19">
        <f>O34*D33/D34</f>
        <v>8</v>
      </c>
      <c r="P33" s="19">
        <f>P34*D33/D34</f>
        <v>2.8</v>
      </c>
      <c r="Q33" s="136" t="s">
        <v>31</v>
      </c>
      <c r="R33" s="136"/>
      <c r="S33" s="187"/>
    </row>
    <row r="34" spans="1:19" s="32" customFormat="1" ht="18.95" customHeight="1" x14ac:dyDescent="0.25">
      <c r="A34" s="133"/>
      <c r="B34" s="187"/>
      <c r="C34" s="187"/>
      <c r="D34" s="186">
        <v>200</v>
      </c>
      <c r="E34" s="186">
        <v>1</v>
      </c>
      <c r="F34" s="186">
        <v>0.2</v>
      </c>
      <c r="G34" s="186">
        <v>20.2</v>
      </c>
      <c r="H34" s="186">
        <v>86.6</v>
      </c>
      <c r="I34" s="187">
        <v>0.02</v>
      </c>
      <c r="J34" s="187">
        <v>4</v>
      </c>
      <c r="K34" s="187"/>
      <c r="L34" s="187">
        <v>0.2</v>
      </c>
      <c r="M34" s="187">
        <v>14</v>
      </c>
      <c r="N34" s="187">
        <v>14</v>
      </c>
      <c r="O34" s="187">
        <v>8</v>
      </c>
      <c r="P34" s="187">
        <v>2.8</v>
      </c>
      <c r="Q34" s="136"/>
      <c r="R34" s="136"/>
      <c r="S34" s="187"/>
    </row>
  </sheetData>
  <mergeCells count="8">
    <mergeCell ref="A1:S1"/>
    <mergeCell ref="Q2:S2"/>
    <mergeCell ref="A2:A3"/>
    <mergeCell ref="B2:C2"/>
    <mergeCell ref="D2:D3"/>
    <mergeCell ref="E2:H2"/>
    <mergeCell ref="I2:L2"/>
    <mergeCell ref="M2:P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3"/>
  <sheetViews>
    <sheetView workbookViewId="0">
      <selection sqref="A1:B1"/>
    </sheetView>
  </sheetViews>
  <sheetFormatPr defaultRowHeight="12.75" x14ac:dyDescent="0.25"/>
  <cols>
    <col min="1" max="41" width="10.7109375" style="125" customWidth="1"/>
    <col min="42" max="16384" width="9.140625" style="125"/>
  </cols>
  <sheetData>
    <row r="1" spans="1:40" x14ac:dyDescent="0.25">
      <c r="A1" s="454" t="s">
        <v>214</v>
      </c>
      <c r="B1" s="454"/>
      <c r="F1" s="454" t="s">
        <v>215</v>
      </c>
      <c r="G1" s="454"/>
      <c r="H1" s="454"/>
      <c r="I1" s="454" t="s">
        <v>214</v>
      </c>
      <c r="J1" s="454"/>
      <c r="N1" s="454" t="s">
        <v>215</v>
      </c>
      <c r="O1" s="454"/>
      <c r="P1" s="454"/>
      <c r="Q1" s="454" t="s">
        <v>214</v>
      </c>
      <c r="R1" s="454"/>
      <c r="V1" s="454" t="s">
        <v>215</v>
      </c>
      <c r="W1" s="454"/>
      <c r="X1" s="454"/>
      <c r="Y1" s="454" t="s">
        <v>214</v>
      </c>
      <c r="Z1" s="454"/>
      <c r="AD1" s="454" t="s">
        <v>215</v>
      </c>
      <c r="AE1" s="454"/>
      <c r="AF1" s="454"/>
      <c r="AG1" s="454" t="s">
        <v>214</v>
      </c>
      <c r="AH1" s="454"/>
      <c r="AL1" s="454" t="s">
        <v>215</v>
      </c>
      <c r="AM1" s="454"/>
      <c r="AN1" s="454"/>
    </row>
    <row r="2" spans="1:40" x14ac:dyDescent="0.25">
      <c r="E2" s="454" t="s">
        <v>216</v>
      </c>
      <c r="F2" s="454"/>
      <c r="G2" s="454"/>
      <c r="H2" s="454"/>
      <c r="M2" s="454" t="s">
        <v>216</v>
      </c>
      <c r="N2" s="454"/>
      <c r="O2" s="454"/>
      <c r="P2" s="454"/>
      <c r="U2" s="454" t="s">
        <v>216</v>
      </c>
      <c r="V2" s="454"/>
      <c r="W2" s="454"/>
      <c r="X2" s="454"/>
      <c r="AC2" s="454" t="s">
        <v>216</v>
      </c>
      <c r="AD2" s="454"/>
      <c r="AE2" s="454"/>
      <c r="AF2" s="454"/>
      <c r="AK2" s="454" t="s">
        <v>216</v>
      </c>
      <c r="AL2" s="454"/>
      <c r="AM2" s="454"/>
      <c r="AN2" s="454"/>
    </row>
    <row r="3" spans="1:40" x14ac:dyDescent="0.25">
      <c r="E3" s="161"/>
      <c r="F3" s="161"/>
      <c r="G3" s="161"/>
      <c r="H3" s="161"/>
      <c r="M3" s="161"/>
      <c r="N3" s="161"/>
      <c r="O3" s="161"/>
      <c r="P3" s="161"/>
      <c r="U3" s="161"/>
      <c r="V3" s="161"/>
      <c r="W3" s="161"/>
      <c r="X3" s="161"/>
      <c r="AC3" s="161"/>
      <c r="AD3" s="161"/>
      <c r="AE3" s="161"/>
      <c r="AF3" s="161"/>
      <c r="AK3" s="161"/>
      <c r="AL3" s="161"/>
      <c r="AM3" s="161"/>
      <c r="AN3" s="161"/>
    </row>
    <row r="4" spans="1:40" ht="18.95" customHeight="1" x14ac:dyDescent="0.25">
      <c r="A4" s="414" t="s">
        <v>812</v>
      </c>
      <c r="B4" s="414"/>
      <c r="C4" s="414"/>
      <c r="D4" s="414"/>
      <c r="E4" s="414"/>
      <c r="F4" s="414"/>
      <c r="G4" s="414"/>
      <c r="H4" s="414"/>
      <c r="I4" s="414" t="s">
        <v>813</v>
      </c>
      <c r="J4" s="414"/>
      <c r="K4" s="414"/>
      <c r="L4" s="414"/>
      <c r="M4" s="414"/>
      <c r="N4" s="414"/>
      <c r="O4" s="414"/>
      <c r="P4" s="414"/>
      <c r="Q4" s="414" t="s">
        <v>816</v>
      </c>
      <c r="R4" s="414"/>
      <c r="S4" s="414"/>
      <c r="T4" s="414"/>
      <c r="U4" s="414"/>
      <c r="V4" s="414"/>
      <c r="W4" s="414"/>
      <c r="X4" s="414"/>
      <c r="Y4" s="414" t="s">
        <v>819</v>
      </c>
      <c r="Z4" s="414"/>
      <c r="AA4" s="414"/>
      <c r="AB4" s="414"/>
      <c r="AC4" s="414"/>
      <c r="AD4" s="414"/>
      <c r="AE4" s="414"/>
      <c r="AF4" s="414"/>
      <c r="AG4" s="414" t="s">
        <v>822</v>
      </c>
      <c r="AH4" s="414"/>
      <c r="AI4" s="414"/>
      <c r="AJ4" s="414"/>
      <c r="AK4" s="414"/>
      <c r="AL4" s="414"/>
      <c r="AM4" s="414"/>
      <c r="AN4" s="414"/>
    </row>
    <row r="5" spans="1:40" ht="18.95" customHeight="1" x14ac:dyDescent="0.25">
      <c r="A5" s="473" t="s">
        <v>944</v>
      </c>
      <c r="B5" s="465"/>
      <c r="C5" s="465"/>
      <c r="D5" s="465"/>
      <c r="E5" s="465"/>
      <c r="F5" s="465"/>
      <c r="G5" s="465"/>
      <c r="H5" s="465"/>
      <c r="I5" s="473" t="s">
        <v>945</v>
      </c>
      <c r="J5" s="465"/>
      <c r="K5" s="465"/>
      <c r="L5" s="465"/>
      <c r="M5" s="465"/>
      <c r="N5" s="465"/>
      <c r="O5" s="465"/>
      <c r="P5" s="465"/>
      <c r="Q5" s="473" t="s">
        <v>818</v>
      </c>
      <c r="R5" s="465"/>
      <c r="S5" s="465"/>
      <c r="T5" s="465"/>
      <c r="U5" s="465"/>
      <c r="V5" s="465"/>
      <c r="W5" s="465"/>
      <c r="X5" s="465"/>
      <c r="Y5" s="473" t="s">
        <v>821</v>
      </c>
      <c r="Z5" s="465"/>
      <c r="AA5" s="465"/>
      <c r="AB5" s="465"/>
      <c r="AC5" s="465"/>
      <c r="AD5" s="465"/>
      <c r="AE5" s="465"/>
      <c r="AF5" s="465"/>
      <c r="AG5" s="473" t="s">
        <v>946</v>
      </c>
      <c r="AH5" s="465"/>
      <c r="AI5" s="465"/>
      <c r="AJ5" s="465"/>
      <c r="AK5" s="465"/>
      <c r="AL5" s="465"/>
      <c r="AM5" s="465"/>
      <c r="AN5" s="465"/>
    </row>
    <row r="6" spans="1:40" ht="18.95" customHeight="1" x14ac:dyDescent="0.25">
      <c r="A6" s="473" t="s">
        <v>814</v>
      </c>
      <c r="B6" s="473"/>
      <c r="C6" s="473"/>
      <c r="D6" s="473"/>
      <c r="E6" s="473"/>
      <c r="F6" s="473"/>
      <c r="G6" s="473"/>
      <c r="H6" s="473"/>
      <c r="I6" s="473" t="s">
        <v>815</v>
      </c>
      <c r="J6" s="473"/>
      <c r="K6" s="473"/>
      <c r="L6" s="473"/>
      <c r="M6" s="473"/>
      <c r="N6" s="473"/>
      <c r="O6" s="473"/>
      <c r="P6" s="473"/>
      <c r="Q6" s="473" t="s">
        <v>817</v>
      </c>
      <c r="R6" s="473"/>
      <c r="S6" s="473"/>
      <c r="T6" s="473"/>
      <c r="U6" s="473"/>
      <c r="V6" s="473"/>
      <c r="W6" s="473"/>
      <c r="X6" s="473"/>
      <c r="Y6" s="473" t="s">
        <v>820</v>
      </c>
      <c r="Z6" s="473"/>
      <c r="AA6" s="473"/>
      <c r="AB6" s="473"/>
      <c r="AC6" s="473"/>
      <c r="AD6" s="473"/>
      <c r="AE6" s="473"/>
      <c r="AF6" s="473"/>
      <c r="AG6" s="473" t="s">
        <v>823</v>
      </c>
      <c r="AH6" s="473"/>
      <c r="AI6" s="473"/>
      <c r="AJ6" s="473"/>
      <c r="AK6" s="473"/>
      <c r="AL6" s="473"/>
      <c r="AM6" s="473"/>
      <c r="AN6" s="473"/>
    </row>
    <row r="7" spans="1:40" ht="18.95" customHeight="1" x14ac:dyDescent="0.25">
      <c r="A7" s="465" t="s">
        <v>189</v>
      </c>
      <c r="B7" s="465"/>
      <c r="C7" s="465"/>
      <c r="D7" s="465"/>
      <c r="E7" s="465"/>
      <c r="F7" s="465"/>
      <c r="G7" s="465"/>
      <c r="H7" s="465"/>
      <c r="I7" s="465" t="s">
        <v>189</v>
      </c>
      <c r="J7" s="465"/>
      <c r="K7" s="465"/>
      <c r="L7" s="465"/>
      <c r="M7" s="465"/>
      <c r="N7" s="465"/>
      <c r="O7" s="465"/>
      <c r="P7" s="465"/>
      <c r="Q7" s="465" t="s">
        <v>189</v>
      </c>
      <c r="R7" s="465"/>
      <c r="S7" s="465"/>
      <c r="T7" s="465"/>
      <c r="U7" s="465"/>
      <c r="V7" s="465"/>
      <c r="W7" s="465"/>
      <c r="X7" s="465"/>
      <c r="Y7" s="465" t="s">
        <v>189</v>
      </c>
      <c r="Z7" s="465"/>
      <c r="AA7" s="465"/>
      <c r="AB7" s="465"/>
      <c r="AC7" s="465"/>
      <c r="AD7" s="465"/>
      <c r="AE7" s="465"/>
      <c r="AF7" s="465"/>
      <c r="AG7" s="465" t="s">
        <v>189</v>
      </c>
      <c r="AH7" s="465"/>
      <c r="AI7" s="465"/>
      <c r="AJ7" s="465"/>
      <c r="AK7" s="465"/>
      <c r="AL7" s="465"/>
      <c r="AM7" s="465"/>
      <c r="AN7" s="465"/>
    </row>
    <row r="8" spans="1:40" ht="18.95" customHeight="1" x14ac:dyDescent="0.25">
      <c r="A8" s="465" t="s">
        <v>190</v>
      </c>
      <c r="B8" s="465"/>
      <c r="C8" s="465"/>
      <c r="D8" s="465"/>
      <c r="E8" s="465"/>
      <c r="F8" s="465"/>
      <c r="G8" s="465"/>
      <c r="H8" s="465"/>
      <c r="I8" s="465" t="s">
        <v>190</v>
      </c>
      <c r="J8" s="465"/>
      <c r="K8" s="465"/>
      <c r="L8" s="465"/>
      <c r="M8" s="465"/>
      <c r="N8" s="465"/>
      <c r="O8" s="465"/>
      <c r="P8" s="465"/>
      <c r="Q8" s="465" t="s">
        <v>190</v>
      </c>
      <c r="R8" s="465"/>
      <c r="S8" s="465"/>
      <c r="T8" s="465"/>
      <c r="U8" s="465"/>
      <c r="V8" s="465"/>
      <c r="W8" s="465"/>
      <c r="X8" s="465"/>
      <c r="Y8" s="465" t="s">
        <v>190</v>
      </c>
      <c r="Z8" s="465"/>
      <c r="AA8" s="465"/>
      <c r="AB8" s="465"/>
      <c r="AC8" s="465"/>
      <c r="AD8" s="465"/>
      <c r="AE8" s="465"/>
      <c r="AF8" s="465"/>
      <c r="AG8" s="465" t="s">
        <v>190</v>
      </c>
      <c r="AH8" s="465"/>
      <c r="AI8" s="465"/>
      <c r="AJ8" s="465"/>
      <c r="AK8" s="465"/>
      <c r="AL8" s="465"/>
      <c r="AM8" s="465"/>
      <c r="AN8" s="465"/>
    </row>
    <row r="9" spans="1:40" ht="18.95" customHeight="1" x14ac:dyDescent="0.25">
      <c r="C9" s="159"/>
      <c r="K9" s="159"/>
      <c r="S9" s="159"/>
      <c r="AA9" s="159"/>
      <c r="AI9" s="159"/>
    </row>
    <row r="10" spans="1:40" ht="18.95" customHeight="1" x14ac:dyDescent="0.25">
      <c r="B10" s="466" t="s">
        <v>174</v>
      </c>
      <c r="C10" s="467"/>
      <c r="D10" s="412" t="s">
        <v>179</v>
      </c>
      <c r="E10" s="412"/>
      <c r="F10" s="412"/>
      <c r="G10" s="412"/>
      <c r="J10" s="466" t="s">
        <v>174</v>
      </c>
      <c r="K10" s="467"/>
      <c r="L10" s="412" t="s">
        <v>179</v>
      </c>
      <c r="M10" s="412"/>
      <c r="N10" s="412"/>
      <c r="O10" s="412"/>
      <c r="R10" s="466" t="s">
        <v>174</v>
      </c>
      <c r="S10" s="467"/>
      <c r="T10" s="412" t="s">
        <v>179</v>
      </c>
      <c r="U10" s="412"/>
      <c r="V10" s="412"/>
      <c r="W10" s="412"/>
      <c r="Z10" s="466" t="s">
        <v>174</v>
      </c>
      <c r="AA10" s="467"/>
      <c r="AB10" s="412" t="s">
        <v>179</v>
      </c>
      <c r="AC10" s="412"/>
      <c r="AD10" s="412"/>
      <c r="AE10" s="412"/>
      <c r="AH10" s="466" t="s">
        <v>174</v>
      </c>
      <c r="AI10" s="467"/>
      <c r="AJ10" s="412" t="s">
        <v>179</v>
      </c>
      <c r="AK10" s="412"/>
      <c r="AL10" s="412"/>
      <c r="AM10" s="412"/>
    </row>
    <row r="11" spans="1:40" ht="18.95" customHeight="1" x14ac:dyDescent="0.25">
      <c r="B11" s="468"/>
      <c r="C11" s="469"/>
      <c r="D11" s="412" t="s">
        <v>177</v>
      </c>
      <c r="E11" s="412"/>
      <c r="F11" s="412" t="s">
        <v>178</v>
      </c>
      <c r="G11" s="412"/>
      <c r="J11" s="468"/>
      <c r="K11" s="469"/>
      <c r="L11" s="412" t="s">
        <v>177</v>
      </c>
      <c r="M11" s="412"/>
      <c r="N11" s="412" t="s">
        <v>178</v>
      </c>
      <c r="O11" s="412"/>
      <c r="R11" s="468"/>
      <c r="S11" s="469"/>
      <c r="T11" s="412" t="s">
        <v>177</v>
      </c>
      <c r="U11" s="412"/>
      <c r="V11" s="412" t="s">
        <v>178</v>
      </c>
      <c r="W11" s="412"/>
      <c r="Z11" s="468"/>
      <c r="AA11" s="469"/>
      <c r="AB11" s="412" t="s">
        <v>177</v>
      </c>
      <c r="AC11" s="412"/>
      <c r="AD11" s="412" t="s">
        <v>178</v>
      </c>
      <c r="AE11" s="412"/>
      <c r="AH11" s="468"/>
      <c r="AI11" s="469"/>
      <c r="AJ11" s="412" t="s">
        <v>177</v>
      </c>
      <c r="AK11" s="412"/>
      <c r="AL11" s="412" t="s">
        <v>178</v>
      </c>
      <c r="AM11" s="412"/>
    </row>
    <row r="12" spans="1:40" ht="18.95" customHeight="1" x14ac:dyDescent="0.25">
      <c r="B12" s="470"/>
      <c r="C12" s="471"/>
      <c r="D12" s="158" t="s">
        <v>175</v>
      </c>
      <c r="E12" s="158" t="s">
        <v>176</v>
      </c>
      <c r="F12" s="158" t="s">
        <v>175</v>
      </c>
      <c r="G12" s="158" t="s">
        <v>176</v>
      </c>
      <c r="J12" s="470"/>
      <c r="K12" s="471"/>
      <c r="L12" s="158" t="s">
        <v>175</v>
      </c>
      <c r="M12" s="158" t="s">
        <v>176</v>
      </c>
      <c r="N12" s="158" t="s">
        <v>175</v>
      </c>
      <c r="O12" s="158" t="s">
        <v>176</v>
      </c>
      <c r="R12" s="470"/>
      <c r="S12" s="471"/>
      <c r="T12" s="158" t="s">
        <v>175</v>
      </c>
      <c r="U12" s="158" t="s">
        <v>176</v>
      </c>
      <c r="V12" s="158" t="s">
        <v>175</v>
      </c>
      <c r="W12" s="158" t="s">
        <v>176</v>
      </c>
      <c r="Z12" s="470"/>
      <c r="AA12" s="471"/>
      <c r="AB12" s="158" t="s">
        <v>175</v>
      </c>
      <c r="AC12" s="158" t="s">
        <v>176</v>
      </c>
      <c r="AD12" s="158" t="s">
        <v>175</v>
      </c>
      <c r="AE12" s="158" t="s">
        <v>176</v>
      </c>
      <c r="AH12" s="470"/>
      <c r="AI12" s="471"/>
      <c r="AJ12" s="158" t="s">
        <v>175</v>
      </c>
      <c r="AK12" s="158" t="s">
        <v>176</v>
      </c>
      <c r="AL12" s="158" t="s">
        <v>175</v>
      </c>
      <c r="AM12" s="158" t="s">
        <v>176</v>
      </c>
    </row>
    <row r="13" spans="1:40" ht="18.95" customHeight="1" x14ac:dyDescent="0.25">
      <c r="B13" s="455" t="s">
        <v>824</v>
      </c>
      <c r="C13" s="456"/>
      <c r="D13" s="106">
        <f>F13*напитки!B5/G17</f>
        <v>4.54</v>
      </c>
      <c r="E13" s="106">
        <f>G13*напитки!B5/G17</f>
        <v>4</v>
      </c>
      <c r="F13" s="106">
        <f>227/5*100</f>
        <v>4540</v>
      </c>
      <c r="G13" s="106">
        <f>200/5*100</f>
        <v>4000</v>
      </c>
      <c r="J13" s="536" t="s">
        <v>330</v>
      </c>
      <c r="K13" s="537"/>
      <c r="L13" s="106">
        <f>N13*напитки!B7/O17</f>
        <v>2</v>
      </c>
      <c r="M13" s="106">
        <f>O13*напитки!B7/O17</f>
        <v>3.2</v>
      </c>
      <c r="N13" s="106">
        <f>100/5*100</f>
        <v>2000</v>
      </c>
      <c r="O13" s="106">
        <f>160/5*100</f>
        <v>3200</v>
      </c>
      <c r="R13" s="545" t="s">
        <v>827</v>
      </c>
      <c r="S13" s="546"/>
      <c r="T13" s="106">
        <f>V13*напитки!B9/W17</f>
        <v>2</v>
      </c>
      <c r="U13" s="106">
        <f>W13*напитки!B9/W17</f>
        <v>5</v>
      </c>
      <c r="V13" s="106">
        <f>100/5*100</f>
        <v>2000</v>
      </c>
      <c r="W13" s="106">
        <f>250/5*100</f>
        <v>5000</v>
      </c>
      <c r="Z13" s="484" t="s">
        <v>829</v>
      </c>
      <c r="AA13" s="485"/>
      <c r="AB13" s="106">
        <f>AD13*напитки!B11/AE18</f>
        <v>21</v>
      </c>
      <c r="AC13" s="106">
        <f>AE13*напитки!C11/AE18</f>
        <v>20</v>
      </c>
      <c r="AD13" s="106">
        <f>105/5*100</f>
        <v>2100</v>
      </c>
      <c r="AE13" s="106">
        <f>100/5*100</f>
        <v>2000</v>
      </c>
      <c r="AH13" s="484" t="s">
        <v>833</v>
      </c>
      <c r="AI13" s="485"/>
      <c r="AJ13" s="106">
        <f>50*AK16/200</f>
        <v>50</v>
      </c>
      <c r="AK13" s="106">
        <f>50*AK16/200</f>
        <v>50</v>
      </c>
      <c r="AL13" s="106">
        <f t="shared" ref="AL13:AM15" si="0">AJ13*100</f>
        <v>5000</v>
      </c>
      <c r="AM13" s="106">
        <f t="shared" si="0"/>
        <v>5000</v>
      </c>
    </row>
    <row r="14" spans="1:40" ht="18.95" customHeight="1" x14ac:dyDescent="0.25">
      <c r="B14" s="488" t="s">
        <v>484</v>
      </c>
      <c r="C14" s="489"/>
      <c r="D14" s="106">
        <f>F14*напитки!B5/G17</f>
        <v>17.2</v>
      </c>
      <c r="E14" s="106">
        <f>G14*напитки!B5/G17</f>
        <v>17.2</v>
      </c>
      <c r="F14" s="106">
        <f>860/5*100</f>
        <v>17200</v>
      </c>
      <c r="G14" s="106">
        <f>860/5*100</f>
        <v>17200</v>
      </c>
      <c r="J14" s="536" t="s">
        <v>741</v>
      </c>
      <c r="K14" s="537"/>
      <c r="L14" s="106">
        <f>N14*напитки!B7/O17</f>
        <v>2</v>
      </c>
      <c r="M14" s="106">
        <f>O14*напитки!B7/O17</f>
        <v>2</v>
      </c>
      <c r="N14" s="106">
        <f>100/5*100</f>
        <v>2000</v>
      </c>
      <c r="O14" s="106">
        <f>100/5*100</f>
        <v>2000</v>
      </c>
      <c r="R14" s="536" t="s">
        <v>741</v>
      </c>
      <c r="S14" s="537"/>
      <c r="T14" s="106">
        <f>V14*напитки!B9/W17</f>
        <v>2</v>
      </c>
      <c r="U14" s="106">
        <f>W14*напитки!B9/W17</f>
        <v>2</v>
      </c>
      <c r="V14" s="106">
        <f>100/5*100</f>
        <v>2000</v>
      </c>
      <c r="W14" s="106">
        <f>100/5*100</f>
        <v>2000</v>
      </c>
      <c r="Z14" s="455" t="s">
        <v>830</v>
      </c>
      <c r="AA14" s="456"/>
      <c r="AB14" s="106">
        <f>AD14*напитки!B11/AE18</f>
        <v>20.2</v>
      </c>
      <c r="AC14" s="106">
        <f>AE14*напитки!C11/AE18</f>
        <v>20</v>
      </c>
      <c r="AD14" s="106">
        <f>101/5*100</f>
        <v>2020</v>
      </c>
      <c r="AE14" s="106">
        <f>100/5*100</f>
        <v>2000</v>
      </c>
      <c r="AH14" s="484" t="s">
        <v>297</v>
      </c>
      <c r="AI14" s="485"/>
      <c r="AJ14" s="106">
        <f>15*AK16/200</f>
        <v>15</v>
      </c>
      <c r="AK14" s="106">
        <f>15*AK16/200</f>
        <v>15</v>
      </c>
      <c r="AL14" s="106">
        <f t="shared" si="0"/>
        <v>1500</v>
      </c>
      <c r="AM14" s="106">
        <f t="shared" si="0"/>
        <v>1500</v>
      </c>
    </row>
    <row r="15" spans="1:40" ht="18.95" customHeight="1" x14ac:dyDescent="0.25">
      <c r="B15" s="488" t="s">
        <v>741</v>
      </c>
      <c r="C15" s="489"/>
      <c r="D15" s="106">
        <f>F15*напитки!B5/G17</f>
        <v>2.4</v>
      </c>
      <c r="E15" s="106">
        <f>G15*напитки!B5/G17</f>
        <v>2.4</v>
      </c>
      <c r="F15" s="106">
        <f>120/5*100</f>
        <v>2400</v>
      </c>
      <c r="G15" s="106">
        <f>120/5*100</f>
        <v>2400</v>
      </c>
      <c r="J15" s="455" t="s">
        <v>295</v>
      </c>
      <c r="K15" s="456"/>
      <c r="L15" s="106">
        <f>N15*напитки!B7/O17</f>
        <v>0.02</v>
      </c>
      <c r="M15" s="106">
        <f>O15*напитки!B7/O17</f>
        <v>0.02</v>
      </c>
      <c r="N15" s="106">
        <f>1/5*100</f>
        <v>20</v>
      </c>
      <c r="O15" s="106">
        <f>1/5*100</f>
        <v>20</v>
      </c>
      <c r="R15" s="455" t="s">
        <v>295</v>
      </c>
      <c r="S15" s="456"/>
      <c r="T15" s="106">
        <f>V15*напитки!B9/W17</f>
        <v>0.02</v>
      </c>
      <c r="U15" s="106">
        <f>W15*напитки!B9/W17</f>
        <v>0.02</v>
      </c>
      <c r="V15" s="106">
        <f>1/5*100</f>
        <v>20</v>
      </c>
      <c r="W15" s="106">
        <f>1/5*100</f>
        <v>20</v>
      </c>
      <c r="Z15" s="455" t="s">
        <v>670</v>
      </c>
      <c r="AA15" s="456"/>
      <c r="AB15" s="106">
        <f>AD15*напитки!B11/AE18</f>
        <v>186</v>
      </c>
      <c r="AC15" s="106">
        <f>AE15*напитки!C11/AE18</f>
        <v>186</v>
      </c>
      <c r="AD15" s="106">
        <f>930/5*100</f>
        <v>18600</v>
      </c>
      <c r="AE15" s="106">
        <f>930/5*100</f>
        <v>18600</v>
      </c>
      <c r="AH15" s="455" t="s">
        <v>484</v>
      </c>
      <c r="AI15" s="456"/>
      <c r="AJ15" s="106">
        <f>150*AK16/200</f>
        <v>150</v>
      </c>
      <c r="AK15" s="106">
        <f>150*AK16/200</f>
        <v>150</v>
      </c>
      <c r="AL15" s="106">
        <f t="shared" si="0"/>
        <v>15000</v>
      </c>
      <c r="AM15" s="106">
        <f t="shared" si="0"/>
        <v>15000</v>
      </c>
    </row>
    <row r="16" spans="1:40" ht="18.95" customHeight="1" x14ac:dyDescent="0.25">
      <c r="B16" s="455" t="s">
        <v>295</v>
      </c>
      <c r="C16" s="456"/>
      <c r="D16" s="106">
        <f>F16*напитки!B5/G17</f>
        <v>0.02</v>
      </c>
      <c r="E16" s="106">
        <f>G16*напитки!B5/G17</f>
        <v>0.02</v>
      </c>
      <c r="F16" s="106">
        <f>1/5*100</f>
        <v>20</v>
      </c>
      <c r="G16" s="106">
        <f>1/5*100</f>
        <v>20</v>
      </c>
      <c r="J16" s="536" t="s">
        <v>484</v>
      </c>
      <c r="K16" s="537"/>
      <c r="L16" s="106">
        <f>N16*напитки!B7/O17</f>
        <v>20.3</v>
      </c>
      <c r="M16" s="106">
        <f>O16*напитки!B7/O17</f>
        <v>20.3</v>
      </c>
      <c r="N16" s="106">
        <f>1015/5*100</f>
        <v>20300</v>
      </c>
      <c r="O16" s="106">
        <f>1015/5*100</f>
        <v>20300</v>
      </c>
      <c r="R16" s="536" t="s">
        <v>484</v>
      </c>
      <c r="S16" s="537"/>
      <c r="T16" s="106">
        <f>V16*напитки!B9/W17</f>
        <v>20</v>
      </c>
      <c r="U16" s="106">
        <f>W16*напитки!B9/W17</f>
        <v>20</v>
      </c>
      <c r="V16" s="106">
        <f>1000/5*100</f>
        <v>20000</v>
      </c>
      <c r="W16" s="106">
        <f>1000/5*100</f>
        <v>20000</v>
      </c>
      <c r="Z16" s="536" t="s">
        <v>741</v>
      </c>
      <c r="AA16" s="537"/>
      <c r="AB16" s="106">
        <f>AD16*напитки!B11/AE18</f>
        <v>20</v>
      </c>
      <c r="AC16" s="106">
        <f>AE16*напитки!C11/AE18</f>
        <v>20</v>
      </c>
      <c r="AD16" s="106">
        <f>100/5*100</f>
        <v>2000</v>
      </c>
      <c r="AE16" s="106">
        <f>100/5*100</f>
        <v>2000</v>
      </c>
      <c r="AH16" s="457" t="s">
        <v>180</v>
      </c>
      <c r="AI16" s="458"/>
      <c r="AJ16" s="118"/>
      <c r="AK16" s="106">
        <f>напитки!B13</f>
        <v>200</v>
      </c>
      <c r="AL16" s="106"/>
      <c r="AM16" s="106">
        <f>AK16*100</f>
        <v>20000</v>
      </c>
    </row>
    <row r="17" spans="1:40" ht="18.95" customHeight="1" x14ac:dyDescent="0.25">
      <c r="B17" s="457" t="s">
        <v>180</v>
      </c>
      <c r="C17" s="458"/>
      <c r="D17" s="118"/>
      <c r="E17" s="106">
        <f>G17*напитки!B5/G17</f>
        <v>200</v>
      </c>
      <c r="F17" s="106"/>
      <c r="G17" s="86">
        <f>10000/5*100</f>
        <v>200000</v>
      </c>
      <c r="J17" s="474" t="s">
        <v>180</v>
      </c>
      <c r="K17" s="476"/>
      <c r="L17" s="118"/>
      <c r="M17" s="106">
        <f>O17*напитки!B7/O17</f>
        <v>200</v>
      </c>
      <c r="N17" s="106"/>
      <c r="O17" s="86">
        <f>10000/5*100</f>
        <v>200000</v>
      </c>
      <c r="R17" s="474" t="s">
        <v>180</v>
      </c>
      <c r="S17" s="476"/>
      <c r="T17" s="118"/>
      <c r="U17" s="106">
        <f>W17*напитки!B9/W17</f>
        <v>200</v>
      </c>
      <c r="V17" s="106"/>
      <c r="W17" s="86">
        <f>10000/5*100</f>
        <v>200000</v>
      </c>
      <c r="Z17" s="455" t="s">
        <v>831</v>
      </c>
      <c r="AA17" s="456"/>
      <c r="AB17" s="106">
        <f>AD17*напитки!B11/AE18</f>
        <v>9</v>
      </c>
      <c r="AC17" s="106">
        <f>AE17*напитки!C11/AE18</f>
        <v>9</v>
      </c>
      <c r="AD17" s="106">
        <f>45/5*100</f>
        <v>900</v>
      </c>
      <c r="AE17" s="106">
        <f>45/5*100</f>
        <v>900</v>
      </c>
    </row>
    <row r="18" spans="1:40" ht="18.95" customHeight="1" x14ac:dyDescent="0.25">
      <c r="Z18" s="457" t="s">
        <v>180</v>
      </c>
      <c r="AA18" s="458"/>
      <c r="AB18" s="118"/>
      <c r="AC18" s="106">
        <f>AE18*напитки!C11/AE18</f>
        <v>200</v>
      </c>
      <c r="AD18" s="106"/>
      <c r="AE18" s="86">
        <f>1000/5*100</f>
        <v>20000</v>
      </c>
      <c r="AG18" s="459" t="s">
        <v>181</v>
      </c>
      <c r="AH18" s="459"/>
      <c r="AI18" s="459"/>
      <c r="AJ18" s="459"/>
      <c r="AK18" s="459"/>
      <c r="AL18" s="459"/>
      <c r="AM18" s="459"/>
      <c r="AN18" s="459"/>
    </row>
    <row r="19" spans="1:40" ht="18.95" customHeight="1" x14ac:dyDescent="0.25">
      <c r="A19" s="459" t="s">
        <v>703</v>
      </c>
      <c r="B19" s="459"/>
      <c r="C19" s="459"/>
      <c r="D19" s="459"/>
      <c r="E19" s="459"/>
      <c r="F19" s="459"/>
      <c r="G19" s="459"/>
      <c r="H19" s="459"/>
      <c r="I19" s="459" t="s">
        <v>712</v>
      </c>
      <c r="J19" s="459"/>
      <c r="K19" s="459"/>
      <c r="L19" s="459"/>
      <c r="M19" s="459"/>
      <c r="N19" s="459"/>
      <c r="O19" s="459"/>
      <c r="P19" s="459"/>
      <c r="Q19" s="459" t="s">
        <v>712</v>
      </c>
      <c r="R19" s="459"/>
      <c r="S19" s="459"/>
      <c r="T19" s="459"/>
      <c r="U19" s="459"/>
      <c r="V19" s="459"/>
      <c r="W19" s="459"/>
      <c r="X19" s="459"/>
      <c r="AG19" s="185" t="s">
        <v>182</v>
      </c>
      <c r="AH19" s="185" t="s">
        <v>106</v>
      </c>
      <c r="AI19" s="115" t="s">
        <v>107</v>
      </c>
      <c r="AJ19" s="116" t="s">
        <v>187</v>
      </c>
      <c r="AK19" s="185" t="s">
        <v>183</v>
      </c>
      <c r="AL19" s="185" t="s">
        <v>184</v>
      </c>
      <c r="AM19" s="185" t="s">
        <v>185</v>
      </c>
      <c r="AN19" s="185" t="s">
        <v>186</v>
      </c>
    </row>
    <row r="20" spans="1:40" ht="18.95" customHeight="1" x14ac:dyDescent="0.25">
      <c r="A20" s="158" t="s">
        <v>182</v>
      </c>
      <c r="B20" s="158" t="s">
        <v>106</v>
      </c>
      <c r="C20" s="115" t="s">
        <v>107</v>
      </c>
      <c r="D20" s="116" t="s">
        <v>187</v>
      </c>
      <c r="E20" s="158" t="s">
        <v>183</v>
      </c>
      <c r="F20" s="158" t="s">
        <v>184</v>
      </c>
      <c r="G20" s="158" t="s">
        <v>185</v>
      </c>
      <c r="H20" s="158" t="s">
        <v>186</v>
      </c>
      <c r="I20" s="158" t="s">
        <v>182</v>
      </c>
      <c r="J20" s="158" t="s">
        <v>106</v>
      </c>
      <c r="K20" s="115" t="s">
        <v>107</v>
      </c>
      <c r="L20" s="116" t="s">
        <v>187</v>
      </c>
      <c r="M20" s="158" t="s">
        <v>183</v>
      </c>
      <c r="N20" s="158" t="s">
        <v>184</v>
      </c>
      <c r="O20" s="158" t="s">
        <v>185</v>
      </c>
      <c r="P20" s="158" t="s">
        <v>186</v>
      </c>
      <c r="Q20" s="158" t="s">
        <v>182</v>
      </c>
      <c r="R20" s="158" t="s">
        <v>106</v>
      </c>
      <c r="S20" s="115" t="s">
        <v>107</v>
      </c>
      <c r="T20" s="116" t="s">
        <v>187</v>
      </c>
      <c r="U20" s="158" t="s">
        <v>183</v>
      </c>
      <c r="V20" s="158" t="s">
        <v>184</v>
      </c>
      <c r="W20" s="158" t="s">
        <v>185</v>
      </c>
      <c r="X20" s="158" t="s">
        <v>186</v>
      </c>
      <c r="Y20" s="460" t="s">
        <v>181</v>
      </c>
      <c r="Z20" s="459"/>
      <c r="AA20" s="459"/>
      <c r="AB20" s="459"/>
      <c r="AC20" s="459"/>
      <c r="AD20" s="459"/>
      <c r="AE20" s="459"/>
      <c r="AF20" s="461"/>
      <c r="AG20" s="41">
        <f>напитки!E13</f>
        <v>7.0000000000000007E-2</v>
      </c>
      <c r="AH20" s="41">
        <f>напитки!F13</f>
        <v>0.02</v>
      </c>
      <c r="AI20" s="41">
        <f>напитки!G13</f>
        <v>15</v>
      </c>
      <c r="AJ20" s="41">
        <f>напитки!H13</f>
        <v>60</v>
      </c>
      <c r="AK20" s="41">
        <f>напитки!M13</f>
        <v>11.1</v>
      </c>
      <c r="AL20" s="41">
        <f>напитки!O13</f>
        <v>1.4</v>
      </c>
      <c r="AM20" s="41">
        <f>напитки!P13</f>
        <v>0.28000000000000003</v>
      </c>
      <c r="AN20" s="41">
        <f>напитки!J13</f>
        <v>0.03</v>
      </c>
    </row>
    <row r="21" spans="1:40" ht="18.95" customHeight="1" x14ac:dyDescent="0.25">
      <c r="A21" s="41">
        <f>напитки!E5</f>
        <v>0.16</v>
      </c>
      <c r="B21" s="41">
        <f>напитки!F5</f>
        <v>0.16</v>
      </c>
      <c r="C21" s="41">
        <f>напитки!G5</f>
        <v>27.88</v>
      </c>
      <c r="D21" s="41">
        <f>напитки!H5</f>
        <v>114.6</v>
      </c>
      <c r="E21" s="41">
        <f>напитки!M5</f>
        <v>14.180000000000001</v>
      </c>
      <c r="F21" s="41">
        <f>напитки!O5</f>
        <v>5.14</v>
      </c>
      <c r="G21" s="41">
        <f>напитки!P5</f>
        <v>0.95199999999999996</v>
      </c>
      <c r="H21" s="41">
        <f>напитки!J5</f>
        <v>0.9</v>
      </c>
      <c r="I21" s="41">
        <f>напитки!E7</f>
        <v>0.34599999999999997</v>
      </c>
      <c r="J21" s="41">
        <f>напитки!F7</f>
        <v>7.5999999999999998E-2</v>
      </c>
      <c r="K21" s="41">
        <f>напитки!G7</f>
        <v>29.85</v>
      </c>
      <c r="L21" s="41">
        <f>напитки!H7</f>
        <v>122.2</v>
      </c>
      <c r="M21" s="41">
        <f>напитки!M7</f>
        <v>20.32</v>
      </c>
      <c r="N21" s="41">
        <f>напитки!O7</f>
        <v>8.1199999999999992</v>
      </c>
      <c r="O21" s="41">
        <f>напитки!P7</f>
        <v>0.45</v>
      </c>
      <c r="P21" s="41">
        <f>напитки!J7</f>
        <v>0</v>
      </c>
      <c r="Q21" s="41">
        <f>напитки!E9</f>
        <v>0.66200000000000003</v>
      </c>
      <c r="R21" s="41">
        <f>напитки!F9</f>
        <v>0.09</v>
      </c>
      <c r="S21" s="41">
        <f>напитки!G9</f>
        <v>32.014000000000003</v>
      </c>
      <c r="T21" s="41">
        <f>напитки!H9</f>
        <v>132.80000000000001</v>
      </c>
      <c r="U21" s="41">
        <f>напитки!M9</f>
        <v>32.479999999999997</v>
      </c>
      <c r="V21" s="41">
        <f>напитки!O9</f>
        <v>17.46</v>
      </c>
      <c r="W21" s="41">
        <f>напитки!P9</f>
        <v>0.69799999999999995</v>
      </c>
      <c r="X21" s="41">
        <f>напитки!J9</f>
        <v>0.72599999999999998</v>
      </c>
      <c r="Y21" s="185" t="s">
        <v>182</v>
      </c>
      <c r="Z21" s="185" t="s">
        <v>106</v>
      </c>
      <c r="AA21" s="115" t="s">
        <v>107</v>
      </c>
      <c r="AB21" s="116" t="s">
        <v>187</v>
      </c>
      <c r="AC21" s="185" t="s">
        <v>183</v>
      </c>
      <c r="AD21" s="185" t="s">
        <v>184</v>
      </c>
      <c r="AE21" s="185" t="s">
        <v>185</v>
      </c>
      <c r="AF21" s="185" t="s">
        <v>186</v>
      </c>
    </row>
    <row r="22" spans="1:40" ht="18.95" customHeight="1" x14ac:dyDescent="0.25">
      <c r="Y22" s="41">
        <f>напитки!E11</f>
        <v>0.14799999999999999</v>
      </c>
      <c r="Z22" s="41">
        <f>напитки!F11</f>
        <v>0.08</v>
      </c>
      <c r="AA22" s="41">
        <f>напитки!G11</f>
        <v>24.492000000000001</v>
      </c>
      <c r="AB22" s="41">
        <f>напитки!H11</f>
        <v>114.6</v>
      </c>
      <c r="AC22" s="41">
        <f>напитки!M11</f>
        <v>14</v>
      </c>
      <c r="AD22" s="41">
        <f>напитки!O11</f>
        <v>5.58</v>
      </c>
      <c r="AE22" s="41">
        <f>напитки!P11</f>
        <v>0.13800000000000001</v>
      </c>
      <c r="AF22" s="41">
        <f>напитки!J11</f>
        <v>24</v>
      </c>
      <c r="AG22" s="462" t="s">
        <v>834</v>
      </c>
      <c r="AH22" s="462"/>
      <c r="AI22" s="462"/>
      <c r="AJ22" s="462"/>
      <c r="AK22" s="462"/>
      <c r="AL22" s="462"/>
      <c r="AM22" s="462"/>
      <c r="AN22" s="462"/>
    </row>
    <row r="23" spans="1:40" ht="18.95" customHeight="1" x14ac:dyDescent="0.25">
      <c r="A23" s="462" t="s">
        <v>825</v>
      </c>
      <c r="B23" s="462"/>
      <c r="C23" s="462"/>
      <c r="D23" s="462"/>
      <c r="E23" s="462"/>
      <c r="F23" s="462"/>
      <c r="G23" s="462"/>
      <c r="H23" s="462"/>
      <c r="I23" s="462" t="s">
        <v>826</v>
      </c>
      <c r="J23" s="462"/>
      <c r="K23" s="462"/>
      <c r="L23" s="462"/>
      <c r="M23" s="462"/>
      <c r="N23" s="462"/>
      <c r="O23" s="462"/>
      <c r="P23" s="462"/>
      <c r="Q23" s="462" t="s">
        <v>828</v>
      </c>
      <c r="R23" s="462"/>
      <c r="S23" s="462"/>
      <c r="T23" s="462"/>
      <c r="U23" s="462"/>
      <c r="V23" s="462"/>
      <c r="W23" s="462"/>
      <c r="X23" s="462"/>
      <c r="AG23" s="462"/>
      <c r="AH23" s="462"/>
      <c r="AI23" s="462"/>
      <c r="AJ23" s="462"/>
      <c r="AK23" s="462"/>
      <c r="AL23" s="462"/>
      <c r="AM23" s="462"/>
      <c r="AN23" s="462"/>
    </row>
    <row r="24" spans="1:40" ht="18.95" customHeight="1" x14ac:dyDescent="0.25">
      <c r="A24" s="462"/>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t="s">
        <v>832</v>
      </c>
      <c r="Z24" s="462"/>
      <c r="AA24" s="462"/>
      <c r="AB24" s="462"/>
      <c r="AC24" s="462"/>
      <c r="AD24" s="462"/>
      <c r="AE24" s="462"/>
      <c r="AF24" s="462"/>
      <c r="AG24" s="119"/>
      <c r="AH24" s="119"/>
      <c r="AI24" s="119"/>
      <c r="AJ24" s="119"/>
      <c r="AK24" s="119"/>
      <c r="AL24" s="119"/>
      <c r="AM24" s="119"/>
      <c r="AN24" s="119"/>
    </row>
    <row r="25" spans="1:40" ht="18.95" customHeight="1" x14ac:dyDescent="0.25">
      <c r="A25" s="462"/>
      <c r="B25" s="462"/>
      <c r="C25" s="462"/>
      <c r="D25" s="462"/>
      <c r="E25" s="462"/>
      <c r="F25" s="462"/>
      <c r="G25" s="462"/>
      <c r="H25" s="462"/>
      <c r="I25" s="119"/>
      <c r="J25" s="119"/>
      <c r="K25" s="119"/>
      <c r="L25" s="119"/>
      <c r="M25" s="119"/>
      <c r="N25" s="119"/>
      <c r="O25" s="119"/>
      <c r="P25" s="119"/>
      <c r="Q25" s="119"/>
      <c r="R25" s="119"/>
      <c r="S25" s="119"/>
      <c r="T25" s="119"/>
      <c r="U25" s="119"/>
      <c r="V25" s="119"/>
      <c r="W25" s="119"/>
      <c r="X25" s="119"/>
      <c r="Y25" s="462"/>
      <c r="Z25" s="462"/>
      <c r="AA25" s="462"/>
      <c r="AB25" s="462"/>
      <c r="AC25" s="462"/>
      <c r="AD25" s="462"/>
      <c r="AE25" s="462"/>
      <c r="AF25" s="462"/>
      <c r="AG25" s="454" t="s">
        <v>232</v>
      </c>
      <c r="AH25" s="454"/>
      <c r="AI25" s="454"/>
      <c r="AJ25" s="184"/>
      <c r="AK25" s="184"/>
      <c r="AL25" s="184"/>
      <c r="AM25" s="184"/>
      <c r="AN25" s="184"/>
    </row>
    <row r="26" spans="1:40" ht="18.95" customHeight="1" x14ac:dyDescent="0.25">
      <c r="A26" s="462"/>
      <c r="B26" s="462"/>
      <c r="C26" s="462"/>
      <c r="D26" s="462"/>
      <c r="E26" s="462"/>
      <c r="F26" s="462"/>
      <c r="G26" s="462"/>
      <c r="H26" s="462"/>
      <c r="I26" s="454" t="s">
        <v>232</v>
      </c>
      <c r="J26" s="454"/>
      <c r="K26" s="454"/>
      <c r="L26" s="119"/>
      <c r="M26" s="119"/>
      <c r="N26" s="119"/>
      <c r="O26" s="119"/>
      <c r="P26" s="119"/>
      <c r="Q26" s="454" t="s">
        <v>232</v>
      </c>
      <c r="R26" s="454"/>
      <c r="S26" s="454"/>
      <c r="T26" s="119"/>
      <c r="U26" s="119"/>
      <c r="V26" s="119"/>
      <c r="W26" s="119"/>
      <c r="X26" s="119"/>
      <c r="Y26" s="462"/>
      <c r="Z26" s="462"/>
      <c r="AA26" s="462"/>
      <c r="AB26" s="462"/>
      <c r="AC26" s="462"/>
      <c r="AD26" s="462"/>
      <c r="AE26" s="462"/>
      <c r="AF26" s="462"/>
      <c r="AG26" s="184"/>
      <c r="AH26" s="184"/>
      <c r="AI26" s="184"/>
      <c r="AJ26" s="184"/>
      <c r="AK26" s="184"/>
      <c r="AL26" s="184"/>
      <c r="AM26" s="184"/>
      <c r="AN26" s="184"/>
    </row>
    <row r="27" spans="1:40" ht="18.95" customHeight="1" x14ac:dyDescent="0.25">
      <c r="Y27" s="462"/>
      <c r="Z27" s="462"/>
      <c r="AA27" s="462"/>
      <c r="AB27" s="462"/>
      <c r="AC27" s="462"/>
      <c r="AD27" s="462"/>
      <c r="AE27" s="462"/>
      <c r="AF27" s="462"/>
    </row>
    <row r="28" spans="1:40" ht="18.95" customHeight="1" x14ac:dyDescent="0.25">
      <c r="A28" s="454" t="s">
        <v>232</v>
      </c>
      <c r="B28" s="454"/>
      <c r="C28" s="454"/>
      <c r="Y28" s="462"/>
      <c r="Z28" s="462"/>
      <c r="AA28" s="462"/>
      <c r="AB28" s="462"/>
      <c r="AC28" s="462"/>
      <c r="AD28" s="462"/>
      <c r="AE28" s="462"/>
      <c r="AF28" s="462"/>
      <c r="AG28" s="454"/>
      <c r="AH28" s="454"/>
      <c r="AI28" s="454"/>
    </row>
    <row r="29" spans="1:40" ht="18.95" customHeight="1" x14ac:dyDescent="0.25">
      <c r="I29" s="119"/>
      <c r="J29" s="119"/>
      <c r="K29" s="119"/>
      <c r="L29" s="119"/>
      <c r="M29" s="119"/>
      <c r="N29" s="119"/>
      <c r="O29" s="119"/>
      <c r="P29" s="119"/>
      <c r="Y29" s="184"/>
      <c r="Z29" s="184"/>
      <c r="AA29" s="184"/>
      <c r="AB29" s="184"/>
      <c r="AC29" s="184"/>
      <c r="AD29" s="184"/>
      <c r="AE29" s="184"/>
      <c r="AF29" s="184"/>
    </row>
    <row r="30" spans="1:40" ht="18.95" customHeight="1" x14ac:dyDescent="0.25">
      <c r="I30" s="119"/>
      <c r="J30" s="119"/>
      <c r="K30" s="119"/>
      <c r="L30" s="119"/>
      <c r="M30" s="119"/>
      <c r="N30" s="119"/>
      <c r="O30" s="119"/>
      <c r="P30" s="119"/>
      <c r="Q30" s="119"/>
      <c r="R30" s="119"/>
      <c r="S30" s="119"/>
      <c r="T30" s="119"/>
      <c r="U30" s="119"/>
      <c r="V30" s="119"/>
      <c r="W30" s="119"/>
      <c r="X30" s="119"/>
      <c r="Y30" s="454" t="s">
        <v>232</v>
      </c>
      <c r="Z30" s="454"/>
      <c r="AA30" s="454"/>
      <c r="AB30" s="184"/>
      <c r="AC30" s="184"/>
      <c r="AD30" s="184"/>
      <c r="AE30" s="184"/>
      <c r="AF30" s="184"/>
    </row>
    <row r="31" spans="1:40" ht="18.95" customHeight="1" x14ac:dyDescent="0.25">
      <c r="I31" s="119"/>
      <c r="J31" s="119"/>
      <c r="K31" s="119"/>
      <c r="L31" s="119"/>
      <c r="M31" s="119"/>
      <c r="N31" s="119"/>
      <c r="O31" s="119"/>
      <c r="P31" s="119"/>
      <c r="Q31" s="119"/>
      <c r="R31" s="119"/>
      <c r="S31" s="119"/>
      <c r="T31" s="119"/>
      <c r="U31" s="119"/>
      <c r="V31" s="119"/>
      <c r="W31" s="119"/>
      <c r="X31" s="119"/>
      <c r="Y31" s="184"/>
      <c r="Z31" s="184"/>
      <c r="AA31" s="184"/>
      <c r="AB31" s="184"/>
      <c r="AC31" s="184"/>
      <c r="AD31" s="184"/>
      <c r="AE31" s="184"/>
      <c r="AF31" s="184"/>
    </row>
    <row r="32" spans="1:40" ht="18.95" customHeight="1" x14ac:dyDescent="0.25">
      <c r="I32" s="119"/>
      <c r="J32" s="119"/>
      <c r="K32" s="119"/>
      <c r="L32" s="119"/>
      <c r="M32" s="119"/>
      <c r="N32" s="119"/>
      <c r="O32" s="119"/>
      <c r="P32" s="119"/>
      <c r="Q32" s="119"/>
      <c r="R32" s="119"/>
      <c r="S32" s="119"/>
      <c r="T32" s="119"/>
      <c r="U32" s="119"/>
      <c r="V32" s="119"/>
      <c r="W32" s="119"/>
      <c r="X32" s="119"/>
    </row>
    <row r="33" spans="1:40" ht="18.95" customHeight="1" x14ac:dyDescent="0.25">
      <c r="Q33" s="119"/>
      <c r="R33" s="119"/>
      <c r="S33" s="119"/>
      <c r="T33" s="119"/>
      <c r="U33" s="119"/>
      <c r="V33" s="119"/>
      <c r="W33" s="119"/>
      <c r="X33" s="119"/>
      <c r="Y33" s="454"/>
      <c r="Z33" s="454"/>
      <c r="AA33" s="454"/>
    </row>
    <row r="34" spans="1:40" ht="18.95" customHeight="1" x14ac:dyDescent="0.25">
      <c r="Q34" s="119"/>
      <c r="R34" s="119"/>
      <c r="S34" s="119"/>
      <c r="T34" s="119"/>
      <c r="U34" s="119"/>
      <c r="V34" s="119"/>
      <c r="W34" s="119"/>
      <c r="X34" s="119"/>
    </row>
    <row r="35" spans="1:40" ht="18.95" customHeight="1" x14ac:dyDescent="0.25">
      <c r="A35" s="119"/>
      <c r="B35" s="119"/>
      <c r="C35" s="119"/>
      <c r="D35" s="119"/>
      <c r="E35" s="119"/>
      <c r="F35" s="119"/>
      <c r="G35" s="119"/>
      <c r="H35" s="119"/>
    </row>
    <row r="36" spans="1:40" ht="18.95" customHeight="1" x14ac:dyDescent="0.25">
      <c r="A36" s="119"/>
      <c r="B36" s="119"/>
      <c r="C36" s="119"/>
      <c r="D36" s="119"/>
      <c r="E36" s="119"/>
      <c r="F36" s="119"/>
      <c r="G36" s="119"/>
      <c r="H36" s="119"/>
    </row>
    <row r="37" spans="1:40" ht="18.95" customHeight="1" x14ac:dyDescent="0.25">
      <c r="A37" s="119"/>
      <c r="B37" s="119"/>
      <c r="C37" s="119"/>
      <c r="D37" s="119"/>
      <c r="E37" s="119"/>
      <c r="F37" s="119"/>
      <c r="G37" s="119"/>
      <c r="H37" s="119"/>
    </row>
    <row r="38" spans="1:40" ht="18.95" customHeight="1" x14ac:dyDescent="0.25"/>
    <row r="39" spans="1:40" ht="18.95" customHeight="1" x14ac:dyDescent="0.25"/>
    <row r="40" spans="1:40" ht="18.95" customHeight="1" x14ac:dyDescent="0.25"/>
    <row r="41" spans="1:40" ht="18.95" customHeight="1" x14ac:dyDescent="0.25"/>
    <row r="42" spans="1:40" x14ac:dyDescent="0.25">
      <c r="A42" s="454" t="s">
        <v>214</v>
      </c>
      <c r="B42" s="454"/>
      <c r="F42" s="454" t="s">
        <v>215</v>
      </c>
      <c r="G42" s="454"/>
      <c r="H42" s="454"/>
      <c r="I42" s="454" t="s">
        <v>214</v>
      </c>
      <c r="J42" s="454"/>
      <c r="N42" s="454" t="s">
        <v>215</v>
      </c>
      <c r="O42" s="454"/>
      <c r="P42" s="454"/>
      <c r="Q42" s="454" t="s">
        <v>214</v>
      </c>
      <c r="R42" s="454"/>
      <c r="V42" s="454" t="s">
        <v>215</v>
      </c>
      <c r="W42" s="454"/>
      <c r="X42" s="454"/>
      <c r="Y42" s="454" t="s">
        <v>214</v>
      </c>
      <c r="Z42" s="454"/>
      <c r="AD42" s="454" t="s">
        <v>215</v>
      </c>
      <c r="AE42" s="454"/>
      <c r="AF42" s="454"/>
      <c r="AG42" s="454" t="s">
        <v>214</v>
      </c>
      <c r="AH42" s="454"/>
      <c r="AL42" s="454" t="s">
        <v>215</v>
      </c>
      <c r="AM42" s="454"/>
      <c r="AN42" s="454"/>
    </row>
    <row r="43" spans="1:40" x14ac:dyDescent="0.25">
      <c r="E43" s="454" t="s">
        <v>216</v>
      </c>
      <c r="F43" s="454"/>
      <c r="G43" s="454"/>
      <c r="H43" s="454"/>
      <c r="M43" s="454" t="s">
        <v>216</v>
      </c>
      <c r="N43" s="454"/>
      <c r="O43" s="454"/>
      <c r="P43" s="454"/>
      <c r="U43" s="454" t="s">
        <v>216</v>
      </c>
      <c r="V43" s="454"/>
      <c r="W43" s="454"/>
      <c r="X43" s="454"/>
      <c r="AC43" s="454" t="s">
        <v>216</v>
      </c>
      <c r="AD43" s="454"/>
      <c r="AE43" s="454"/>
      <c r="AF43" s="454"/>
      <c r="AK43" s="454" t="s">
        <v>216</v>
      </c>
      <c r="AL43" s="454"/>
      <c r="AM43" s="454"/>
      <c r="AN43" s="454"/>
    </row>
    <row r="44" spans="1:40" x14ac:dyDescent="0.25">
      <c r="E44" s="161"/>
      <c r="F44" s="161"/>
      <c r="G44" s="161"/>
      <c r="H44" s="161"/>
      <c r="M44" s="161"/>
      <c r="N44" s="161"/>
      <c r="O44" s="161"/>
      <c r="P44" s="161"/>
      <c r="U44" s="161"/>
      <c r="V44" s="161"/>
      <c r="W44" s="161"/>
      <c r="X44" s="161"/>
      <c r="AC44" s="161"/>
      <c r="AD44" s="161"/>
      <c r="AE44" s="161"/>
      <c r="AF44" s="161"/>
      <c r="AK44" s="161"/>
      <c r="AL44" s="161"/>
      <c r="AM44" s="161"/>
      <c r="AN44" s="161"/>
    </row>
    <row r="45" spans="1:40" ht="18.95" customHeight="1" x14ac:dyDescent="0.25">
      <c r="A45" s="414" t="s">
        <v>835</v>
      </c>
      <c r="B45" s="414"/>
      <c r="C45" s="414"/>
      <c r="D45" s="414"/>
      <c r="E45" s="414"/>
      <c r="F45" s="414"/>
      <c r="G45" s="414"/>
      <c r="H45" s="414"/>
      <c r="I45" s="414" t="s">
        <v>836</v>
      </c>
      <c r="J45" s="414"/>
      <c r="K45" s="414"/>
      <c r="L45" s="414"/>
      <c r="M45" s="414"/>
      <c r="N45" s="414"/>
      <c r="O45" s="414"/>
      <c r="P45" s="414"/>
      <c r="Q45" s="414" t="s">
        <v>837</v>
      </c>
      <c r="R45" s="414"/>
      <c r="S45" s="414"/>
      <c r="T45" s="414"/>
      <c r="U45" s="414"/>
      <c r="V45" s="414"/>
      <c r="W45" s="414"/>
      <c r="X45" s="414"/>
      <c r="Y45" s="414" t="s">
        <v>838</v>
      </c>
      <c r="Z45" s="414"/>
      <c r="AA45" s="414"/>
      <c r="AB45" s="414"/>
      <c r="AC45" s="414"/>
      <c r="AD45" s="414"/>
      <c r="AE45" s="414"/>
      <c r="AF45" s="414"/>
      <c r="AG45" s="414" t="s">
        <v>839</v>
      </c>
      <c r="AH45" s="414"/>
      <c r="AI45" s="414"/>
      <c r="AJ45" s="414"/>
      <c r="AK45" s="414"/>
      <c r="AL45" s="414"/>
      <c r="AM45" s="414"/>
      <c r="AN45" s="414"/>
    </row>
    <row r="46" spans="1:40" ht="18.95" customHeight="1" x14ac:dyDescent="0.25">
      <c r="A46" s="473" t="s">
        <v>842</v>
      </c>
      <c r="B46" s="465"/>
      <c r="C46" s="465"/>
      <c r="D46" s="465"/>
      <c r="E46" s="465"/>
      <c r="F46" s="465"/>
      <c r="G46" s="465"/>
      <c r="H46" s="465"/>
      <c r="I46" s="473" t="s">
        <v>970</v>
      </c>
      <c r="J46" s="465"/>
      <c r="K46" s="465"/>
      <c r="L46" s="465"/>
      <c r="M46" s="465"/>
      <c r="N46" s="465"/>
      <c r="O46" s="465"/>
      <c r="P46" s="465"/>
      <c r="Q46" s="473" t="s">
        <v>848</v>
      </c>
      <c r="R46" s="465"/>
      <c r="S46" s="465"/>
      <c r="T46" s="465"/>
      <c r="U46" s="465"/>
      <c r="V46" s="465"/>
      <c r="W46" s="465"/>
      <c r="X46" s="465"/>
      <c r="Y46" s="473" t="s">
        <v>852</v>
      </c>
      <c r="Z46" s="465"/>
      <c r="AA46" s="465"/>
      <c r="AB46" s="465"/>
      <c r="AC46" s="465"/>
      <c r="AD46" s="465"/>
      <c r="AE46" s="465"/>
      <c r="AF46" s="465"/>
      <c r="AG46" s="473" t="s">
        <v>856</v>
      </c>
      <c r="AH46" s="465"/>
      <c r="AI46" s="465"/>
      <c r="AJ46" s="465"/>
      <c r="AK46" s="465"/>
      <c r="AL46" s="465"/>
      <c r="AM46" s="465"/>
      <c r="AN46" s="465"/>
    </row>
    <row r="47" spans="1:40" ht="18.95" customHeight="1" x14ac:dyDescent="0.25">
      <c r="A47" s="473" t="s">
        <v>840</v>
      </c>
      <c r="B47" s="473"/>
      <c r="C47" s="473"/>
      <c r="D47" s="473"/>
      <c r="E47" s="473"/>
      <c r="F47" s="473"/>
      <c r="G47" s="473"/>
      <c r="H47" s="473"/>
      <c r="I47" s="473" t="s">
        <v>841</v>
      </c>
      <c r="J47" s="473"/>
      <c r="K47" s="473"/>
      <c r="L47" s="473"/>
      <c r="M47" s="473"/>
      <c r="N47" s="473"/>
      <c r="O47" s="473"/>
      <c r="P47" s="473"/>
      <c r="Q47" s="473" t="s">
        <v>847</v>
      </c>
      <c r="R47" s="473"/>
      <c r="S47" s="473"/>
      <c r="T47" s="473"/>
      <c r="U47" s="473"/>
      <c r="V47" s="473"/>
      <c r="W47" s="473"/>
      <c r="X47" s="473"/>
      <c r="Y47" s="473" t="s">
        <v>851</v>
      </c>
      <c r="Z47" s="473"/>
      <c r="AA47" s="473"/>
      <c r="AB47" s="473"/>
      <c r="AC47" s="473"/>
      <c r="AD47" s="473"/>
      <c r="AE47" s="473"/>
      <c r="AF47" s="473"/>
      <c r="AG47" s="473" t="s">
        <v>855</v>
      </c>
      <c r="AH47" s="473"/>
      <c r="AI47" s="473"/>
      <c r="AJ47" s="473"/>
      <c r="AK47" s="473"/>
      <c r="AL47" s="473"/>
      <c r="AM47" s="473"/>
      <c r="AN47" s="473"/>
    </row>
    <row r="48" spans="1:40" ht="18.95" customHeight="1" x14ac:dyDescent="0.25">
      <c r="A48" s="465" t="s">
        <v>189</v>
      </c>
      <c r="B48" s="465"/>
      <c r="C48" s="465"/>
      <c r="D48" s="465"/>
      <c r="E48" s="465"/>
      <c r="F48" s="465"/>
      <c r="G48" s="465"/>
      <c r="H48" s="465"/>
      <c r="I48" s="465" t="s">
        <v>189</v>
      </c>
      <c r="J48" s="465"/>
      <c r="K48" s="465"/>
      <c r="L48" s="465"/>
      <c r="M48" s="465"/>
      <c r="N48" s="465"/>
      <c r="O48" s="465"/>
      <c r="P48" s="465"/>
      <c r="Q48" s="465" t="s">
        <v>189</v>
      </c>
      <c r="R48" s="465"/>
      <c r="S48" s="465"/>
      <c r="T48" s="465"/>
      <c r="U48" s="465"/>
      <c r="V48" s="465"/>
      <c r="W48" s="465"/>
      <c r="X48" s="465"/>
      <c r="Y48" s="465" t="s">
        <v>189</v>
      </c>
      <c r="Z48" s="465"/>
      <c r="AA48" s="465"/>
      <c r="AB48" s="465"/>
      <c r="AC48" s="465"/>
      <c r="AD48" s="465"/>
      <c r="AE48" s="465"/>
      <c r="AF48" s="465"/>
      <c r="AG48" s="465" t="s">
        <v>189</v>
      </c>
      <c r="AH48" s="465"/>
      <c r="AI48" s="465"/>
      <c r="AJ48" s="465"/>
      <c r="AK48" s="465"/>
      <c r="AL48" s="465"/>
      <c r="AM48" s="465"/>
      <c r="AN48" s="465"/>
    </row>
    <row r="49" spans="1:40" ht="18.95" customHeight="1" x14ac:dyDescent="0.25">
      <c r="A49" s="465" t="s">
        <v>190</v>
      </c>
      <c r="B49" s="465"/>
      <c r="C49" s="465"/>
      <c r="D49" s="465"/>
      <c r="E49" s="465"/>
      <c r="F49" s="465"/>
      <c r="G49" s="465"/>
      <c r="H49" s="465"/>
      <c r="I49" s="465" t="s">
        <v>190</v>
      </c>
      <c r="J49" s="465"/>
      <c r="K49" s="465"/>
      <c r="L49" s="465"/>
      <c r="M49" s="465"/>
      <c r="N49" s="465"/>
      <c r="O49" s="465"/>
      <c r="P49" s="465"/>
      <c r="Q49" s="465" t="s">
        <v>190</v>
      </c>
      <c r="R49" s="465"/>
      <c r="S49" s="465"/>
      <c r="T49" s="465"/>
      <c r="U49" s="465"/>
      <c r="V49" s="465"/>
      <c r="W49" s="465"/>
      <c r="X49" s="465"/>
      <c r="Y49" s="465" t="s">
        <v>190</v>
      </c>
      <c r="Z49" s="465"/>
      <c r="AA49" s="465"/>
      <c r="AB49" s="465"/>
      <c r="AC49" s="465"/>
      <c r="AD49" s="465"/>
      <c r="AE49" s="465"/>
      <c r="AF49" s="465"/>
      <c r="AG49" s="465" t="s">
        <v>190</v>
      </c>
      <c r="AH49" s="465"/>
      <c r="AI49" s="465"/>
      <c r="AJ49" s="465"/>
      <c r="AK49" s="465"/>
      <c r="AL49" s="465"/>
      <c r="AM49" s="465"/>
      <c r="AN49" s="465"/>
    </row>
    <row r="50" spans="1:40" ht="18.95" customHeight="1" x14ac:dyDescent="0.25">
      <c r="C50" s="159"/>
      <c r="K50" s="159"/>
      <c r="S50" s="159"/>
      <c r="AA50" s="159"/>
      <c r="AI50" s="159"/>
    </row>
    <row r="51" spans="1:40" ht="18.95" customHeight="1" x14ac:dyDescent="0.25">
      <c r="B51" s="466" t="s">
        <v>174</v>
      </c>
      <c r="C51" s="467"/>
      <c r="D51" s="412" t="s">
        <v>179</v>
      </c>
      <c r="E51" s="412"/>
      <c r="F51" s="412"/>
      <c r="G51" s="412"/>
      <c r="J51" s="466" t="s">
        <v>174</v>
      </c>
      <c r="K51" s="467"/>
      <c r="L51" s="412" t="s">
        <v>179</v>
      </c>
      <c r="M51" s="412"/>
      <c r="N51" s="412"/>
      <c r="O51" s="412"/>
      <c r="R51" s="466" t="s">
        <v>174</v>
      </c>
      <c r="S51" s="467"/>
      <c r="T51" s="412" t="s">
        <v>179</v>
      </c>
      <c r="U51" s="412"/>
      <c r="V51" s="412"/>
      <c r="W51" s="412"/>
      <c r="Z51" s="466" t="s">
        <v>174</v>
      </c>
      <c r="AA51" s="467"/>
      <c r="AB51" s="412" t="s">
        <v>179</v>
      </c>
      <c r="AC51" s="412"/>
      <c r="AD51" s="412"/>
      <c r="AE51" s="412"/>
      <c r="AH51" s="466" t="s">
        <v>174</v>
      </c>
      <c r="AI51" s="467"/>
      <c r="AJ51" s="412" t="s">
        <v>179</v>
      </c>
      <c r="AK51" s="412"/>
      <c r="AL51" s="412"/>
      <c r="AM51" s="412"/>
    </row>
    <row r="52" spans="1:40" ht="18.95" customHeight="1" x14ac:dyDescent="0.25">
      <c r="B52" s="468"/>
      <c r="C52" s="469"/>
      <c r="D52" s="412" t="s">
        <v>177</v>
      </c>
      <c r="E52" s="412"/>
      <c r="F52" s="412" t="s">
        <v>178</v>
      </c>
      <c r="G52" s="412"/>
      <c r="J52" s="468"/>
      <c r="K52" s="469"/>
      <c r="L52" s="412" t="s">
        <v>177</v>
      </c>
      <c r="M52" s="412"/>
      <c r="N52" s="412" t="s">
        <v>178</v>
      </c>
      <c r="O52" s="412"/>
      <c r="R52" s="468"/>
      <c r="S52" s="469"/>
      <c r="T52" s="412" t="s">
        <v>177</v>
      </c>
      <c r="U52" s="412"/>
      <c r="V52" s="412" t="s">
        <v>178</v>
      </c>
      <c r="W52" s="412"/>
      <c r="Z52" s="468"/>
      <c r="AA52" s="469"/>
      <c r="AB52" s="412" t="s">
        <v>177</v>
      </c>
      <c r="AC52" s="412"/>
      <c r="AD52" s="412" t="s">
        <v>178</v>
      </c>
      <c r="AE52" s="412"/>
      <c r="AH52" s="468"/>
      <c r="AI52" s="469"/>
      <c r="AJ52" s="412" t="s">
        <v>177</v>
      </c>
      <c r="AK52" s="412"/>
      <c r="AL52" s="412" t="s">
        <v>178</v>
      </c>
      <c r="AM52" s="412"/>
    </row>
    <row r="53" spans="1:40" ht="18.95" customHeight="1" x14ac:dyDescent="0.25">
      <c r="B53" s="470"/>
      <c r="C53" s="471"/>
      <c r="D53" s="158" t="s">
        <v>175</v>
      </c>
      <c r="E53" s="158" t="s">
        <v>176</v>
      </c>
      <c r="F53" s="158" t="s">
        <v>175</v>
      </c>
      <c r="G53" s="158" t="s">
        <v>176</v>
      </c>
      <c r="J53" s="470"/>
      <c r="K53" s="471"/>
      <c r="L53" s="158" t="s">
        <v>175</v>
      </c>
      <c r="M53" s="158" t="s">
        <v>176</v>
      </c>
      <c r="N53" s="158" t="s">
        <v>175</v>
      </c>
      <c r="O53" s="158" t="s">
        <v>176</v>
      </c>
      <c r="R53" s="470"/>
      <c r="S53" s="471"/>
      <c r="T53" s="158" t="s">
        <v>175</v>
      </c>
      <c r="U53" s="158" t="s">
        <v>176</v>
      </c>
      <c r="V53" s="158" t="s">
        <v>175</v>
      </c>
      <c r="W53" s="158" t="s">
        <v>176</v>
      </c>
      <c r="Z53" s="470"/>
      <c r="AA53" s="471"/>
      <c r="AB53" s="158" t="s">
        <v>175</v>
      </c>
      <c r="AC53" s="158" t="s">
        <v>176</v>
      </c>
      <c r="AD53" s="158" t="s">
        <v>175</v>
      </c>
      <c r="AE53" s="158" t="s">
        <v>176</v>
      </c>
      <c r="AH53" s="470"/>
      <c r="AI53" s="471"/>
      <c r="AJ53" s="158" t="s">
        <v>175</v>
      </c>
      <c r="AK53" s="158" t="s">
        <v>176</v>
      </c>
      <c r="AL53" s="158" t="s">
        <v>175</v>
      </c>
      <c r="AM53" s="158" t="s">
        <v>176</v>
      </c>
    </row>
    <row r="54" spans="1:40" ht="18.95" customHeight="1" x14ac:dyDescent="0.25">
      <c r="B54" s="484" t="s">
        <v>833</v>
      </c>
      <c r="C54" s="485"/>
      <c r="D54" s="106">
        <f>50*E58/200</f>
        <v>50</v>
      </c>
      <c r="E54" s="106">
        <f>50*E58/200</f>
        <v>50</v>
      </c>
      <c r="F54" s="106">
        <f t="shared" ref="F54:G57" si="1">D54*100</f>
        <v>5000</v>
      </c>
      <c r="G54" s="106">
        <f t="shared" si="1"/>
        <v>5000</v>
      </c>
      <c r="J54" s="484" t="s">
        <v>833</v>
      </c>
      <c r="K54" s="485"/>
      <c r="L54" s="106">
        <f>50*M58/200</f>
        <v>50</v>
      </c>
      <c r="M54" s="106">
        <f>50*M58/200</f>
        <v>50</v>
      </c>
      <c r="N54" s="106">
        <f t="shared" ref="N54:O57" si="2">L54*100</f>
        <v>5000</v>
      </c>
      <c r="O54" s="106">
        <f t="shared" si="2"/>
        <v>5000</v>
      </c>
      <c r="R54" s="455" t="s">
        <v>849</v>
      </c>
      <c r="S54" s="456"/>
      <c r="T54" s="106">
        <f>V54*напитки!B19/W58</f>
        <v>5</v>
      </c>
      <c r="U54" s="106">
        <f>W54*напитки!B19/W58</f>
        <v>5</v>
      </c>
      <c r="V54" s="106">
        <f>25/5*100</f>
        <v>500</v>
      </c>
      <c r="W54" s="106">
        <f>25/5*100</f>
        <v>500</v>
      </c>
      <c r="Z54" s="455" t="s">
        <v>849</v>
      </c>
      <c r="AA54" s="456"/>
      <c r="AB54" s="106">
        <f>AD54*напитки!B21/AE57</f>
        <v>5</v>
      </c>
      <c r="AC54" s="106">
        <f>AE54*напитки!B21/AE57</f>
        <v>5</v>
      </c>
      <c r="AD54" s="106">
        <f>25/5*100</f>
        <v>500</v>
      </c>
      <c r="AE54" s="106">
        <f>25/5*100</f>
        <v>500</v>
      </c>
      <c r="AH54" s="484" t="s">
        <v>857</v>
      </c>
      <c r="AI54" s="485"/>
      <c r="AJ54" s="106">
        <f>AL54*напитки!B23/AM58</f>
        <v>4</v>
      </c>
      <c r="AK54" s="106">
        <f>AM54*напитки!B23/AM58</f>
        <v>4</v>
      </c>
      <c r="AL54" s="106">
        <f>20/5*100</f>
        <v>400</v>
      </c>
      <c r="AM54" s="106">
        <f>20/5*100</f>
        <v>400</v>
      </c>
    </row>
    <row r="55" spans="1:40" ht="18.95" customHeight="1" x14ac:dyDescent="0.25">
      <c r="B55" s="484" t="s">
        <v>297</v>
      </c>
      <c r="C55" s="485"/>
      <c r="D55" s="106">
        <f>15*E58/200</f>
        <v>15</v>
      </c>
      <c r="E55" s="106">
        <f>15*E58/200</f>
        <v>15</v>
      </c>
      <c r="F55" s="106">
        <f t="shared" si="1"/>
        <v>1500</v>
      </c>
      <c r="G55" s="106">
        <f t="shared" si="1"/>
        <v>1500</v>
      </c>
      <c r="J55" s="484" t="s">
        <v>297</v>
      </c>
      <c r="K55" s="485"/>
      <c r="L55" s="106">
        <f>15*M58/200</f>
        <v>15</v>
      </c>
      <c r="M55" s="106">
        <f>15*M58/200</f>
        <v>15</v>
      </c>
      <c r="N55" s="106">
        <f t="shared" si="2"/>
        <v>1500</v>
      </c>
      <c r="O55" s="106">
        <f t="shared" si="2"/>
        <v>1500</v>
      </c>
      <c r="R55" s="484" t="s">
        <v>484</v>
      </c>
      <c r="S55" s="485"/>
      <c r="T55" s="106">
        <f>V55*напитки!B19/W58</f>
        <v>120</v>
      </c>
      <c r="U55" s="106">
        <f>W55*напитки!B19/W58</f>
        <v>120</v>
      </c>
      <c r="V55" s="106">
        <f>600/5*100</f>
        <v>12000</v>
      </c>
      <c r="W55" s="106">
        <f>600/5*100</f>
        <v>12000</v>
      </c>
      <c r="Z55" s="463" t="s">
        <v>853</v>
      </c>
      <c r="AA55" s="464"/>
      <c r="AB55" s="106">
        <f>AD55*напитки!B21/AE57</f>
        <v>40</v>
      </c>
      <c r="AC55" s="106">
        <f>AE55*напитки!B21/AE57</f>
        <v>40</v>
      </c>
      <c r="AD55" s="106">
        <f>200/5*100</f>
        <v>4000</v>
      </c>
      <c r="AE55" s="106">
        <f>200/5*100</f>
        <v>4000</v>
      </c>
      <c r="AH55" s="543" t="s">
        <v>971</v>
      </c>
      <c r="AI55" s="544"/>
      <c r="AJ55" s="106">
        <f>AL55*напитки!B23/AM58</f>
        <v>100</v>
      </c>
      <c r="AK55" s="106">
        <f>AM55*напитки!B23/AM58</f>
        <v>100</v>
      </c>
      <c r="AL55" s="106">
        <f>500/5*100</f>
        <v>10000</v>
      </c>
      <c r="AM55" s="106">
        <f>500/5*100</f>
        <v>10000</v>
      </c>
    </row>
    <row r="56" spans="1:40" ht="18.95" customHeight="1" x14ac:dyDescent="0.25">
      <c r="B56" s="455" t="s">
        <v>843</v>
      </c>
      <c r="C56" s="456"/>
      <c r="D56" s="106">
        <f>8*E58/200</f>
        <v>8</v>
      </c>
      <c r="E56" s="106">
        <f>7*E58/200</f>
        <v>7</v>
      </c>
      <c r="F56" s="106">
        <f t="shared" si="1"/>
        <v>800</v>
      </c>
      <c r="G56" s="106">
        <f t="shared" si="1"/>
        <v>700</v>
      </c>
      <c r="J56" s="492" t="s">
        <v>971</v>
      </c>
      <c r="K56" s="493"/>
      <c r="L56" s="106">
        <v>6</v>
      </c>
      <c r="M56" s="106">
        <v>6</v>
      </c>
      <c r="N56" s="106">
        <f t="shared" si="2"/>
        <v>600</v>
      </c>
      <c r="O56" s="106">
        <f t="shared" si="2"/>
        <v>600</v>
      </c>
      <c r="R56" s="455" t="s">
        <v>297</v>
      </c>
      <c r="S56" s="456"/>
      <c r="T56" s="106">
        <f>V56*напитки!B19/W58</f>
        <v>20</v>
      </c>
      <c r="U56" s="106">
        <f>W56*напитки!B19/W58</f>
        <v>20</v>
      </c>
      <c r="V56" s="106">
        <f>100/5*100</f>
        <v>2000</v>
      </c>
      <c r="W56" s="106">
        <f>100/5*100</f>
        <v>2000</v>
      </c>
      <c r="Z56" s="455" t="s">
        <v>484</v>
      </c>
      <c r="AA56" s="456"/>
      <c r="AB56" s="106">
        <f>AD56*напитки!B21/AE57</f>
        <v>200</v>
      </c>
      <c r="AC56" s="106">
        <f>AE56*напитки!B21/AE57</f>
        <v>200</v>
      </c>
      <c r="AD56" s="106">
        <f>1000/5*100</f>
        <v>20000</v>
      </c>
      <c r="AE56" s="106">
        <f>1000/5*100</f>
        <v>20000</v>
      </c>
      <c r="AH56" s="455" t="s">
        <v>484</v>
      </c>
      <c r="AI56" s="456"/>
      <c r="AJ56" s="106">
        <f>AL56*напитки!B23/AM58</f>
        <v>110</v>
      </c>
      <c r="AK56" s="106">
        <f>AM56*напитки!B23/AM58</f>
        <v>110</v>
      </c>
      <c r="AL56" s="106">
        <f>550/5*100</f>
        <v>11000</v>
      </c>
      <c r="AM56" s="106">
        <f>550/5*100</f>
        <v>11000</v>
      </c>
    </row>
    <row r="57" spans="1:40" ht="18.95" customHeight="1" x14ac:dyDescent="0.25">
      <c r="B57" s="455" t="s">
        <v>484</v>
      </c>
      <c r="C57" s="456"/>
      <c r="D57" s="106">
        <f>150*E58/200</f>
        <v>150</v>
      </c>
      <c r="E57" s="106">
        <f>150*E58/200</f>
        <v>150</v>
      </c>
      <c r="F57" s="106">
        <f t="shared" si="1"/>
        <v>15000</v>
      </c>
      <c r="G57" s="106">
        <f t="shared" si="1"/>
        <v>15000</v>
      </c>
      <c r="J57" s="455" t="s">
        <v>484</v>
      </c>
      <c r="K57" s="456"/>
      <c r="L57" s="106">
        <f>100*M58/200</f>
        <v>100</v>
      </c>
      <c r="M57" s="106">
        <f>100*M58/200</f>
        <v>100</v>
      </c>
      <c r="N57" s="106">
        <f t="shared" si="2"/>
        <v>10000</v>
      </c>
      <c r="O57" s="106">
        <f t="shared" si="2"/>
        <v>10000</v>
      </c>
      <c r="R57" s="492" t="s">
        <v>971</v>
      </c>
      <c r="S57" s="493"/>
      <c r="T57" s="106">
        <f>V57*напитки!B19/W58</f>
        <v>100</v>
      </c>
      <c r="U57" s="106">
        <f>W57*напитки!B19/W58</f>
        <v>100</v>
      </c>
      <c r="V57" s="106">
        <f>500/5*100</f>
        <v>10000</v>
      </c>
      <c r="W57" s="106">
        <f>500/5*100</f>
        <v>10000</v>
      </c>
      <c r="Z57" s="457" t="s">
        <v>180</v>
      </c>
      <c r="AA57" s="458"/>
      <c r="AB57" s="118"/>
      <c r="AC57" s="106">
        <f>AE57*напитки!B21/AE57</f>
        <v>200</v>
      </c>
      <c r="AD57" s="106"/>
      <c r="AE57" s="86">
        <f>1000/5*100</f>
        <v>20000</v>
      </c>
      <c r="AH57" s="455" t="s">
        <v>297</v>
      </c>
      <c r="AI57" s="456"/>
      <c r="AJ57" s="106">
        <f>AL57*напитки!B23/AM58</f>
        <v>20</v>
      </c>
      <c r="AK57" s="106">
        <f>AM57*напитки!B23/AM58</f>
        <v>20</v>
      </c>
      <c r="AL57" s="106">
        <f>100/5*100</f>
        <v>2000</v>
      </c>
      <c r="AM57" s="106">
        <f>100/5*100</f>
        <v>2000</v>
      </c>
    </row>
    <row r="58" spans="1:40" ht="18.95" customHeight="1" x14ac:dyDescent="0.25">
      <c r="B58" s="457" t="s">
        <v>180</v>
      </c>
      <c r="C58" s="458"/>
      <c r="D58" s="118"/>
      <c r="E58" s="106">
        <f>напитки!B15</f>
        <v>200</v>
      </c>
      <c r="F58" s="106"/>
      <c r="G58" s="106">
        <f>E58*100</f>
        <v>20000</v>
      </c>
      <c r="J58" s="457" t="s">
        <v>180</v>
      </c>
      <c r="K58" s="458"/>
      <c r="L58" s="118"/>
      <c r="M58" s="106">
        <f>напитки!B17</f>
        <v>200</v>
      </c>
      <c r="N58" s="106"/>
      <c r="O58" s="106">
        <f>M58*100</f>
        <v>20000</v>
      </c>
      <c r="R58" s="457" t="s">
        <v>180</v>
      </c>
      <c r="S58" s="458"/>
      <c r="T58" s="118"/>
      <c r="U58" s="106">
        <f>W58*напитки!B19/W58</f>
        <v>200</v>
      </c>
      <c r="V58" s="106"/>
      <c r="W58" s="106">
        <f>1000/5*100</f>
        <v>20000</v>
      </c>
      <c r="AH58" s="457" t="s">
        <v>180</v>
      </c>
      <c r="AI58" s="458"/>
      <c r="AJ58" s="118"/>
      <c r="AK58" s="106">
        <f>AM58*напитки!B23/AM58</f>
        <v>200</v>
      </c>
      <c r="AL58" s="106"/>
      <c r="AM58" s="86">
        <f>1000/5*100</f>
        <v>20000</v>
      </c>
    </row>
    <row r="59" spans="1:40" ht="18.95" customHeight="1" x14ac:dyDescent="0.25">
      <c r="Y59" s="459" t="s">
        <v>181</v>
      </c>
      <c r="Z59" s="459"/>
      <c r="AA59" s="459"/>
      <c r="AB59" s="459"/>
      <c r="AC59" s="459"/>
      <c r="AD59" s="459"/>
      <c r="AE59" s="459"/>
      <c r="AF59" s="459"/>
    </row>
    <row r="60" spans="1:40" ht="18.95" customHeight="1" x14ac:dyDescent="0.25">
      <c r="A60" s="459" t="s">
        <v>181</v>
      </c>
      <c r="B60" s="459"/>
      <c r="C60" s="459"/>
      <c r="D60" s="459"/>
      <c r="E60" s="459"/>
      <c r="F60" s="459"/>
      <c r="G60" s="459"/>
      <c r="H60" s="459"/>
      <c r="I60" s="459" t="s">
        <v>712</v>
      </c>
      <c r="J60" s="459"/>
      <c r="K60" s="459"/>
      <c r="L60" s="459"/>
      <c r="M60" s="459"/>
      <c r="N60" s="459"/>
      <c r="O60" s="459"/>
      <c r="P60" s="459"/>
      <c r="Q60" s="459" t="s">
        <v>181</v>
      </c>
      <c r="R60" s="459"/>
      <c r="S60" s="459"/>
      <c r="T60" s="459"/>
      <c r="U60" s="459"/>
      <c r="V60" s="459"/>
      <c r="W60" s="459"/>
      <c r="X60" s="461"/>
      <c r="Y60" s="158" t="s">
        <v>182</v>
      </c>
      <c r="Z60" s="158" t="s">
        <v>106</v>
      </c>
      <c r="AA60" s="115" t="s">
        <v>107</v>
      </c>
      <c r="AB60" s="116" t="s">
        <v>187</v>
      </c>
      <c r="AC60" s="158" t="s">
        <v>183</v>
      </c>
      <c r="AD60" s="158" t="s">
        <v>184</v>
      </c>
      <c r="AE60" s="158" t="s">
        <v>185</v>
      </c>
      <c r="AF60" s="158" t="s">
        <v>186</v>
      </c>
      <c r="AG60" s="460" t="s">
        <v>181</v>
      </c>
      <c r="AH60" s="459"/>
      <c r="AI60" s="459"/>
      <c r="AJ60" s="459"/>
      <c r="AK60" s="459"/>
      <c r="AL60" s="459"/>
      <c r="AM60" s="459"/>
      <c r="AN60" s="459"/>
    </row>
    <row r="61" spans="1:40" ht="18.95" customHeight="1" x14ac:dyDescent="0.25">
      <c r="A61" s="158" t="s">
        <v>182</v>
      </c>
      <c r="B61" s="158" t="s">
        <v>106</v>
      </c>
      <c r="C61" s="115" t="s">
        <v>107</v>
      </c>
      <c r="D61" s="116" t="s">
        <v>187</v>
      </c>
      <c r="E61" s="158" t="s">
        <v>183</v>
      </c>
      <c r="F61" s="158" t="s">
        <v>184</v>
      </c>
      <c r="G61" s="158" t="s">
        <v>185</v>
      </c>
      <c r="H61" s="158" t="s">
        <v>186</v>
      </c>
      <c r="I61" s="185" t="s">
        <v>182</v>
      </c>
      <c r="J61" s="185" t="s">
        <v>106</v>
      </c>
      <c r="K61" s="115" t="s">
        <v>107</v>
      </c>
      <c r="L61" s="116" t="s">
        <v>187</v>
      </c>
      <c r="M61" s="185" t="s">
        <v>183</v>
      </c>
      <c r="N61" s="185" t="s">
        <v>184</v>
      </c>
      <c r="O61" s="185" t="s">
        <v>185</v>
      </c>
      <c r="P61" s="185" t="s">
        <v>186</v>
      </c>
      <c r="Q61" s="185" t="s">
        <v>182</v>
      </c>
      <c r="R61" s="185" t="s">
        <v>106</v>
      </c>
      <c r="S61" s="115" t="s">
        <v>107</v>
      </c>
      <c r="T61" s="116" t="s">
        <v>187</v>
      </c>
      <c r="U61" s="185" t="s">
        <v>183</v>
      </c>
      <c r="V61" s="185" t="s">
        <v>184</v>
      </c>
      <c r="W61" s="185" t="s">
        <v>185</v>
      </c>
      <c r="X61" s="185" t="s">
        <v>186</v>
      </c>
      <c r="Y61" s="41">
        <f>напитки!E21</f>
        <v>2.944</v>
      </c>
      <c r="Z61" s="41">
        <f>напитки!F21</f>
        <v>1.988</v>
      </c>
      <c r="AA61" s="41">
        <f>напитки!G21</f>
        <v>20.922000000000001</v>
      </c>
      <c r="AB61" s="41">
        <f>напитки!H21</f>
        <v>113.4</v>
      </c>
      <c r="AC61" s="41">
        <f>напитки!M21</f>
        <v>128.78</v>
      </c>
      <c r="AD61" s="41">
        <f>напитки!O21</f>
        <v>12.880000000000003</v>
      </c>
      <c r="AE61" s="41">
        <f>напитки!P21</f>
        <v>7.8E-2</v>
      </c>
      <c r="AF61" s="41">
        <f>напитки!J21</f>
        <v>0.38</v>
      </c>
      <c r="AG61" s="185" t="s">
        <v>182</v>
      </c>
      <c r="AH61" s="185" t="s">
        <v>106</v>
      </c>
      <c r="AI61" s="115" t="s">
        <v>107</v>
      </c>
      <c r="AJ61" s="116" t="s">
        <v>187</v>
      </c>
      <c r="AK61" s="185" t="s">
        <v>183</v>
      </c>
      <c r="AL61" s="185" t="s">
        <v>184</v>
      </c>
      <c r="AM61" s="185" t="s">
        <v>185</v>
      </c>
      <c r="AN61" s="185" t="s">
        <v>186</v>
      </c>
    </row>
    <row r="62" spans="1:40" ht="18.95" customHeight="1" x14ac:dyDescent="0.25">
      <c r="A62" s="41">
        <f>напитки!E15</f>
        <v>0.13</v>
      </c>
      <c r="B62" s="41">
        <f>напитки!F15</f>
        <v>0.02</v>
      </c>
      <c r="C62" s="41">
        <f>напитки!G15</f>
        <v>15.2</v>
      </c>
      <c r="D62" s="41">
        <f>напитки!H15</f>
        <v>62</v>
      </c>
      <c r="E62" s="41">
        <f>напитки!M15</f>
        <v>14.2</v>
      </c>
      <c r="F62" s="41">
        <f>напитки!O15</f>
        <v>2.4</v>
      </c>
      <c r="G62" s="41">
        <f>напитки!P15</f>
        <v>0.36</v>
      </c>
      <c r="H62" s="41">
        <f>напитки!J15</f>
        <v>2.83</v>
      </c>
      <c r="I62" s="41">
        <f>напитки!E17</f>
        <v>1.52</v>
      </c>
      <c r="J62" s="41">
        <f>напитки!F17</f>
        <v>1.35</v>
      </c>
      <c r="K62" s="41">
        <f>напитки!G17</f>
        <v>15.9</v>
      </c>
      <c r="L62" s="41">
        <f>напитки!H17</f>
        <v>81</v>
      </c>
      <c r="M62" s="41">
        <f>напитки!M17</f>
        <v>126.6</v>
      </c>
      <c r="N62" s="41">
        <f>напитки!O17</f>
        <v>15.4</v>
      </c>
      <c r="O62" s="41">
        <f>напитки!P17</f>
        <v>0.41</v>
      </c>
      <c r="P62" s="41">
        <f>напитки!J17</f>
        <v>1.33</v>
      </c>
      <c r="Q62" s="41">
        <f>напитки!E19</f>
        <v>3.1659999999999999</v>
      </c>
      <c r="R62" s="41">
        <f>напитки!F19</f>
        <v>2.6779999999999999</v>
      </c>
      <c r="S62" s="41">
        <f>напитки!G19</f>
        <v>15.946</v>
      </c>
      <c r="T62" s="41">
        <f>напитки!H19</f>
        <v>100.6</v>
      </c>
      <c r="U62" s="41">
        <f>напитки!M19</f>
        <v>125.78</v>
      </c>
      <c r="V62" s="41">
        <f>напитки!O19</f>
        <v>14</v>
      </c>
      <c r="W62" s="41">
        <f>напитки!P19</f>
        <v>0.13400000000000001</v>
      </c>
      <c r="X62" s="41">
        <f>напитки!J19</f>
        <v>1.3</v>
      </c>
      <c r="AG62" s="41">
        <f>напитки!E23</f>
        <v>4.0780000000000003</v>
      </c>
      <c r="AH62" s="41">
        <f>напитки!F23</f>
        <v>3.544</v>
      </c>
      <c r="AI62" s="41">
        <f>напитки!G23</f>
        <v>17.577999999999999</v>
      </c>
      <c r="AJ62" s="41">
        <f>напитки!H23</f>
        <v>118.6</v>
      </c>
      <c r="AK62" s="41">
        <f>напитки!M23</f>
        <v>152.22</v>
      </c>
      <c r="AL62" s="41">
        <f>напитки!O23</f>
        <v>21.34</v>
      </c>
      <c r="AM62" s="41">
        <f>напитки!P23</f>
        <v>0.47799999999999998</v>
      </c>
      <c r="AN62" s="41">
        <f>напитки!J23</f>
        <v>1.5880000000000001</v>
      </c>
    </row>
    <row r="63" spans="1:40" ht="18.95" customHeight="1" x14ac:dyDescent="0.25">
      <c r="Y63" s="462" t="s">
        <v>854</v>
      </c>
      <c r="Z63" s="462"/>
      <c r="AA63" s="462"/>
      <c r="AB63" s="462"/>
      <c r="AC63" s="462"/>
      <c r="AD63" s="462"/>
      <c r="AE63" s="462"/>
      <c r="AF63" s="462"/>
    </row>
    <row r="64" spans="1:40" ht="18.95" customHeight="1" x14ac:dyDescent="0.25">
      <c r="A64" s="462" t="s">
        <v>844</v>
      </c>
      <c r="B64" s="462"/>
      <c r="C64" s="462"/>
      <c r="D64" s="462"/>
      <c r="E64" s="462"/>
      <c r="F64" s="462"/>
      <c r="G64" s="462"/>
      <c r="H64" s="462"/>
      <c r="I64" s="462" t="s">
        <v>846</v>
      </c>
      <c r="J64" s="462"/>
      <c r="K64" s="462"/>
      <c r="L64" s="462"/>
      <c r="M64" s="462"/>
      <c r="N64" s="462"/>
      <c r="O64" s="462"/>
      <c r="P64" s="462"/>
      <c r="Q64" s="462" t="s">
        <v>850</v>
      </c>
      <c r="R64" s="462"/>
      <c r="S64" s="462"/>
      <c r="T64" s="462"/>
      <c r="U64" s="462"/>
      <c r="V64" s="462"/>
      <c r="W64" s="462"/>
      <c r="X64" s="462"/>
      <c r="Y64" s="462"/>
      <c r="Z64" s="462"/>
      <c r="AA64" s="462"/>
      <c r="AB64" s="462"/>
      <c r="AC64" s="462"/>
      <c r="AD64" s="462"/>
      <c r="AE64" s="462"/>
      <c r="AF64" s="462"/>
      <c r="AG64" s="462" t="s">
        <v>858</v>
      </c>
      <c r="AH64" s="462"/>
      <c r="AI64" s="462"/>
      <c r="AJ64" s="462"/>
      <c r="AK64" s="462"/>
      <c r="AL64" s="462"/>
      <c r="AM64" s="462"/>
      <c r="AN64" s="462"/>
    </row>
    <row r="65" spans="1:40" ht="18.95" customHeight="1" x14ac:dyDescent="0.25">
      <c r="A65" s="462"/>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119"/>
      <c r="Z65" s="119"/>
      <c r="AA65" s="119"/>
      <c r="AB65" s="119"/>
      <c r="AC65" s="119"/>
      <c r="AD65" s="119"/>
      <c r="AE65" s="119"/>
      <c r="AF65" s="119"/>
      <c r="AG65" s="462"/>
      <c r="AH65" s="462"/>
      <c r="AI65" s="462"/>
      <c r="AJ65" s="462"/>
      <c r="AK65" s="462"/>
      <c r="AL65" s="462"/>
      <c r="AM65" s="462"/>
      <c r="AN65" s="462"/>
    </row>
    <row r="66" spans="1:40" ht="18.95" customHeight="1" x14ac:dyDescent="0.25">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542" t="s">
        <v>232</v>
      </c>
      <c r="Z66" s="542"/>
      <c r="AA66" s="542"/>
      <c r="AB66" s="153"/>
      <c r="AC66" s="153"/>
      <c r="AD66" s="153"/>
      <c r="AE66" s="153"/>
      <c r="AF66" s="153"/>
      <c r="AG66" s="119"/>
      <c r="AH66" s="119"/>
      <c r="AI66" s="119"/>
      <c r="AJ66" s="119"/>
      <c r="AK66" s="119"/>
      <c r="AL66" s="119"/>
      <c r="AM66" s="119"/>
      <c r="AN66" s="119"/>
    </row>
    <row r="67" spans="1:40" ht="18.95" customHeight="1" x14ac:dyDescent="0.25">
      <c r="A67" s="454" t="s">
        <v>232</v>
      </c>
      <c r="B67" s="454"/>
      <c r="C67" s="454"/>
      <c r="D67" s="119"/>
      <c r="E67" s="119"/>
      <c r="F67" s="119"/>
      <c r="G67" s="119"/>
      <c r="H67" s="119"/>
      <c r="I67" s="454" t="s">
        <v>232</v>
      </c>
      <c r="J67" s="454"/>
      <c r="K67" s="454"/>
      <c r="L67" s="119"/>
      <c r="M67" s="119"/>
      <c r="N67" s="119"/>
      <c r="O67" s="119"/>
      <c r="P67" s="119"/>
      <c r="Q67" s="542" t="s">
        <v>232</v>
      </c>
      <c r="R67" s="542"/>
      <c r="S67" s="542"/>
      <c r="T67" s="119"/>
      <c r="U67" s="119"/>
      <c r="V67" s="119"/>
      <c r="W67" s="119"/>
      <c r="X67" s="119"/>
      <c r="Y67" s="192"/>
      <c r="Z67" s="192"/>
      <c r="AA67" s="192"/>
      <c r="AB67" s="153"/>
      <c r="AC67" s="153"/>
      <c r="AD67" s="153"/>
      <c r="AE67" s="153"/>
      <c r="AF67" s="153"/>
      <c r="AG67" s="542" t="s">
        <v>232</v>
      </c>
      <c r="AH67" s="542"/>
      <c r="AI67" s="542"/>
      <c r="AJ67" s="119"/>
      <c r="AK67" s="119"/>
      <c r="AL67" s="119"/>
      <c r="AM67" s="119"/>
      <c r="AN67" s="119"/>
    </row>
    <row r="68" spans="1:40" ht="18.95" customHeight="1" x14ac:dyDescent="0.25">
      <c r="I68" s="153"/>
      <c r="J68" s="153"/>
      <c r="K68" s="153"/>
      <c r="L68" s="153"/>
      <c r="M68" s="153"/>
      <c r="N68" s="153"/>
      <c r="O68" s="153"/>
      <c r="P68" s="153"/>
      <c r="AG68" s="153"/>
      <c r="AH68" s="153"/>
      <c r="AI68" s="153"/>
      <c r="AJ68" s="153"/>
      <c r="AK68" s="153"/>
      <c r="AL68" s="153"/>
      <c r="AM68" s="153"/>
      <c r="AN68" s="153"/>
    </row>
    <row r="69" spans="1:40" ht="18.95" customHeight="1" x14ac:dyDescent="0.25">
      <c r="I69" s="184"/>
      <c r="J69" s="184"/>
      <c r="K69" s="184"/>
      <c r="L69" s="153"/>
      <c r="M69" s="153"/>
      <c r="N69" s="153"/>
      <c r="O69" s="153"/>
      <c r="P69" s="153"/>
      <c r="Q69" s="192"/>
      <c r="R69" s="192"/>
      <c r="S69" s="192"/>
      <c r="AG69" s="192"/>
      <c r="AH69" s="192"/>
      <c r="AI69" s="192"/>
    </row>
    <row r="70" spans="1:40" ht="18.95" customHeight="1" x14ac:dyDescent="0.25"/>
    <row r="71" spans="1:40" ht="18.95" customHeight="1" x14ac:dyDescent="0.25"/>
    <row r="72" spans="1:40" ht="18.95" customHeight="1" x14ac:dyDescent="0.25"/>
    <row r="73" spans="1:40" ht="18.95" customHeight="1" x14ac:dyDescent="0.25"/>
    <row r="74" spans="1:40" ht="18.95" customHeight="1" x14ac:dyDescent="0.25"/>
    <row r="75" spans="1:40" ht="18.95" customHeight="1" x14ac:dyDescent="0.25">
      <c r="A75" s="119"/>
      <c r="B75" s="119"/>
      <c r="C75" s="119"/>
      <c r="D75" s="119"/>
      <c r="E75" s="119"/>
      <c r="F75" s="119"/>
      <c r="G75" s="119"/>
      <c r="H75" s="119"/>
    </row>
    <row r="76" spans="1:40" ht="18.95" customHeight="1" x14ac:dyDescent="0.25">
      <c r="I76" s="153"/>
      <c r="J76" s="153"/>
      <c r="K76" s="153"/>
      <c r="L76" s="153"/>
      <c r="M76" s="153"/>
      <c r="N76" s="153"/>
      <c r="O76" s="153"/>
      <c r="P76" s="153"/>
      <c r="Y76" s="153"/>
      <c r="Z76" s="153"/>
      <c r="AA76" s="153"/>
      <c r="AB76" s="153"/>
      <c r="AC76" s="153"/>
      <c r="AD76" s="153"/>
      <c r="AE76" s="153"/>
      <c r="AF76" s="153"/>
    </row>
    <row r="77" spans="1:40" ht="18.95" customHeight="1" x14ac:dyDescent="0.25">
      <c r="I77" s="153"/>
      <c r="J77" s="153"/>
      <c r="K77" s="153"/>
      <c r="L77" s="153"/>
      <c r="M77" s="153"/>
      <c r="N77" s="153"/>
      <c r="O77" s="153"/>
      <c r="P77" s="153"/>
      <c r="Y77" s="153"/>
      <c r="Z77" s="153"/>
      <c r="AA77" s="153"/>
      <c r="AB77" s="153"/>
      <c r="AC77" s="153"/>
      <c r="AD77" s="153"/>
      <c r="AE77" s="153"/>
      <c r="AF77" s="153"/>
    </row>
    <row r="78" spans="1:40" ht="18.95" customHeight="1" x14ac:dyDescent="0.25">
      <c r="Y78" s="153"/>
      <c r="Z78" s="153"/>
      <c r="AA78" s="153"/>
      <c r="AB78" s="153"/>
      <c r="AC78" s="153"/>
      <c r="AD78" s="153"/>
      <c r="AE78" s="153"/>
      <c r="AF78" s="153"/>
      <c r="AH78" s="125" t="s">
        <v>790</v>
      </c>
    </row>
    <row r="79" spans="1:40" ht="18.95" customHeight="1" x14ac:dyDescent="0.25">
      <c r="I79" s="161"/>
      <c r="J79" s="161"/>
      <c r="K79" s="161"/>
    </row>
    <row r="80" spans="1:40" ht="18.95" customHeight="1" x14ac:dyDescent="0.25">
      <c r="Y80" s="161"/>
      <c r="Z80" s="161"/>
      <c r="AA80" s="161"/>
    </row>
    <row r="81" spans="1:32" ht="18.95" customHeight="1" x14ac:dyDescent="0.25"/>
    <row r="82" spans="1:32" ht="18.95" customHeight="1" x14ac:dyDescent="0.25"/>
    <row r="83" spans="1:32" x14ac:dyDescent="0.25">
      <c r="A83" s="454" t="s">
        <v>214</v>
      </c>
      <c r="B83" s="454"/>
      <c r="F83" s="454" t="s">
        <v>215</v>
      </c>
      <c r="G83" s="454"/>
      <c r="H83" s="454"/>
      <c r="I83" s="472" t="s">
        <v>214</v>
      </c>
      <c r="J83" s="472"/>
      <c r="K83" s="167"/>
      <c r="L83" s="167"/>
      <c r="M83" s="167"/>
      <c r="N83" s="472" t="s">
        <v>215</v>
      </c>
      <c r="O83" s="472"/>
      <c r="P83" s="472"/>
      <c r="Q83" s="472" t="s">
        <v>214</v>
      </c>
      <c r="R83" s="472"/>
      <c r="S83" s="167"/>
      <c r="T83" s="167"/>
      <c r="U83" s="167"/>
      <c r="V83" s="472" t="s">
        <v>215</v>
      </c>
      <c r="W83" s="472"/>
      <c r="X83" s="472"/>
      <c r="Y83" s="454" t="s">
        <v>214</v>
      </c>
      <c r="Z83" s="454"/>
      <c r="AD83" s="454" t="s">
        <v>215</v>
      </c>
      <c r="AE83" s="454"/>
      <c r="AF83" s="454"/>
    </row>
    <row r="84" spans="1:32" x14ac:dyDescent="0.25">
      <c r="E84" s="454" t="s">
        <v>216</v>
      </c>
      <c r="F84" s="454"/>
      <c r="G84" s="454"/>
      <c r="H84" s="454"/>
      <c r="M84" s="454" t="s">
        <v>216</v>
      </c>
      <c r="N84" s="454"/>
      <c r="O84" s="454"/>
      <c r="P84" s="454"/>
      <c r="U84" s="454" t="s">
        <v>216</v>
      </c>
      <c r="V84" s="454"/>
      <c r="W84" s="454"/>
      <c r="X84" s="454"/>
      <c r="AC84" s="454" t="s">
        <v>216</v>
      </c>
      <c r="AD84" s="454"/>
      <c r="AE84" s="454"/>
      <c r="AF84" s="454"/>
    </row>
    <row r="85" spans="1:32" x14ac:dyDescent="0.25">
      <c r="E85" s="161"/>
      <c r="F85" s="161"/>
      <c r="G85" s="161"/>
      <c r="H85" s="161"/>
      <c r="M85" s="161"/>
      <c r="N85" s="161"/>
      <c r="O85" s="161"/>
      <c r="P85" s="161"/>
      <c r="U85" s="161"/>
      <c r="V85" s="161"/>
      <c r="W85" s="161"/>
      <c r="X85" s="161"/>
      <c r="AC85" s="161"/>
      <c r="AD85" s="161"/>
      <c r="AE85" s="161"/>
      <c r="AF85" s="161"/>
    </row>
    <row r="86" spans="1:32" ht="18.95" customHeight="1" x14ac:dyDescent="0.25">
      <c r="A86" s="414" t="s">
        <v>859</v>
      </c>
      <c r="B86" s="414"/>
      <c r="C86" s="414"/>
      <c r="D86" s="414"/>
      <c r="E86" s="414"/>
      <c r="F86" s="414"/>
      <c r="G86" s="414"/>
      <c r="H86" s="414"/>
      <c r="I86" s="414" t="s">
        <v>860</v>
      </c>
      <c r="J86" s="414"/>
      <c r="K86" s="414"/>
      <c r="L86" s="414"/>
      <c r="M86" s="414"/>
      <c r="N86" s="414"/>
      <c r="O86" s="414"/>
      <c r="P86" s="414"/>
      <c r="Q86" s="414" t="s">
        <v>861</v>
      </c>
      <c r="R86" s="414"/>
      <c r="S86" s="414"/>
      <c r="T86" s="414"/>
      <c r="U86" s="414"/>
      <c r="V86" s="414"/>
      <c r="W86" s="414"/>
      <c r="X86" s="414"/>
      <c r="Y86" s="414" t="s">
        <v>874</v>
      </c>
      <c r="Z86" s="414"/>
      <c r="AA86" s="414"/>
      <c r="AB86" s="414"/>
      <c r="AC86" s="414"/>
      <c r="AD86" s="414"/>
      <c r="AE86" s="414"/>
      <c r="AF86" s="414"/>
    </row>
    <row r="87" spans="1:32" ht="18.95" customHeight="1" x14ac:dyDescent="0.25">
      <c r="A87" s="473" t="s">
        <v>865</v>
      </c>
      <c r="B87" s="465"/>
      <c r="C87" s="465"/>
      <c r="D87" s="465"/>
      <c r="E87" s="465"/>
      <c r="F87" s="465"/>
      <c r="G87" s="465"/>
      <c r="H87" s="465"/>
      <c r="I87" s="473" t="s">
        <v>947</v>
      </c>
      <c r="J87" s="465"/>
      <c r="K87" s="465"/>
      <c r="L87" s="465"/>
      <c r="M87" s="465"/>
      <c r="N87" s="465"/>
      <c r="O87" s="465"/>
      <c r="P87" s="465"/>
      <c r="Q87" s="473" t="s">
        <v>948</v>
      </c>
      <c r="R87" s="465"/>
      <c r="S87" s="465"/>
      <c r="T87" s="465"/>
      <c r="U87" s="465"/>
      <c r="V87" s="465"/>
      <c r="W87" s="465"/>
      <c r="X87" s="465"/>
      <c r="Y87" s="473" t="s">
        <v>875</v>
      </c>
      <c r="Z87" s="465"/>
      <c r="AA87" s="465"/>
      <c r="AB87" s="465"/>
      <c r="AC87" s="465"/>
      <c r="AD87" s="465"/>
      <c r="AE87" s="465"/>
      <c r="AF87" s="465"/>
    </row>
    <row r="88" spans="1:32" ht="18.95" customHeight="1" x14ac:dyDescent="0.25">
      <c r="A88" s="473" t="s">
        <v>862</v>
      </c>
      <c r="B88" s="473"/>
      <c r="C88" s="473"/>
      <c r="D88" s="473"/>
      <c r="E88" s="473"/>
      <c r="F88" s="473"/>
      <c r="G88" s="473"/>
      <c r="H88" s="473"/>
      <c r="I88" s="473" t="s">
        <v>863</v>
      </c>
      <c r="J88" s="473"/>
      <c r="K88" s="473"/>
      <c r="L88" s="473"/>
      <c r="M88" s="473"/>
      <c r="N88" s="473"/>
      <c r="O88" s="473"/>
      <c r="P88" s="473"/>
      <c r="Q88" s="473" t="s">
        <v>864</v>
      </c>
      <c r="R88" s="473"/>
      <c r="S88" s="473"/>
      <c r="T88" s="473"/>
      <c r="U88" s="473"/>
      <c r="V88" s="473"/>
      <c r="W88" s="473"/>
      <c r="X88" s="473"/>
      <c r="Y88" s="473" t="s">
        <v>873</v>
      </c>
      <c r="Z88" s="473"/>
      <c r="AA88" s="473"/>
      <c r="AB88" s="473"/>
      <c r="AC88" s="473"/>
      <c r="AD88" s="473"/>
      <c r="AE88" s="473"/>
      <c r="AF88" s="473"/>
    </row>
    <row r="89" spans="1:32" ht="18.95" customHeight="1" x14ac:dyDescent="0.25">
      <c r="A89" s="465" t="s">
        <v>189</v>
      </c>
      <c r="B89" s="465"/>
      <c r="C89" s="465"/>
      <c r="D89" s="465"/>
      <c r="E89" s="465"/>
      <c r="F89" s="465"/>
      <c r="G89" s="465"/>
      <c r="H89" s="465"/>
      <c r="I89" s="465" t="s">
        <v>189</v>
      </c>
      <c r="J89" s="465"/>
      <c r="K89" s="465"/>
      <c r="L89" s="465"/>
      <c r="M89" s="465"/>
      <c r="N89" s="465"/>
      <c r="O89" s="465"/>
      <c r="P89" s="465"/>
      <c r="Q89" s="465" t="s">
        <v>189</v>
      </c>
      <c r="R89" s="465"/>
      <c r="S89" s="465"/>
      <c r="T89" s="465"/>
      <c r="U89" s="465"/>
      <c r="V89" s="465"/>
      <c r="W89" s="465"/>
      <c r="X89" s="465"/>
      <c r="Y89" s="465" t="s">
        <v>189</v>
      </c>
      <c r="Z89" s="465"/>
      <c r="AA89" s="465"/>
      <c r="AB89" s="465"/>
      <c r="AC89" s="465"/>
      <c r="AD89" s="465"/>
      <c r="AE89" s="465"/>
      <c r="AF89" s="465"/>
    </row>
    <row r="90" spans="1:32" ht="18.95" customHeight="1" x14ac:dyDescent="0.25">
      <c r="A90" s="465" t="s">
        <v>190</v>
      </c>
      <c r="B90" s="465"/>
      <c r="C90" s="465"/>
      <c r="D90" s="465"/>
      <c r="E90" s="465"/>
      <c r="F90" s="465"/>
      <c r="G90" s="465"/>
      <c r="H90" s="465"/>
      <c r="I90" s="465" t="s">
        <v>190</v>
      </c>
      <c r="J90" s="465"/>
      <c r="K90" s="465"/>
      <c r="L90" s="465"/>
      <c r="M90" s="465"/>
      <c r="N90" s="465"/>
      <c r="O90" s="465"/>
      <c r="P90" s="465"/>
      <c r="Q90" s="465" t="s">
        <v>190</v>
      </c>
      <c r="R90" s="465"/>
      <c r="S90" s="465"/>
      <c r="T90" s="465"/>
      <c r="U90" s="465"/>
      <c r="V90" s="465"/>
      <c r="W90" s="465"/>
      <c r="X90" s="465"/>
      <c r="Y90" s="465" t="s">
        <v>190</v>
      </c>
      <c r="Z90" s="465"/>
      <c r="AA90" s="465"/>
      <c r="AB90" s="465"/>
      <c r="AC90" s="465"/>
      <c r="AD90" s="465"/>
      <c r="AE90" s="465"/>
      <c r="AF90" s="465"/>
    </row>
    <row r="91" spans="1:32" ht="18.95" customHeight="1" x14ac:dyDescent="0.25">
      <c r="C91" s="159"/>
      <c r="K91" s="159"/>
      <c r="S91" s="159"/>
      <c r="AA91" s="159"/>
    </row>
    <row r="92" spans="1:32" ht="18.95" customHeight="1" x14ac:dyDescent="0.25">
      <c r="B92" s="466" t="s">
        <v>174</v>
      </c>
      <c r="C92" s="467"/>
      <c r="D92" s="412" t="s">
        <v>179</v>
      </c>
      <c r="E92" s="412"/>
      <c r="F92" s="412"/>
      <c r="G92" s="412"/>
      <c r="J92" s="466" t="s">
        <v>174</v>
      </c>
      <c r="K92" s="467"/>
      <c r="L92" s="412" t="s">
        <v>179</v>
      </c>
      <c r="M92" s="412"/>
      <c r="N92" s="412"/>
      <c r="O92" s="412"/>
      <c r="R92" s="466" t="s">
        <v>174</v>
      </c>
      <c r="S92" s="467"/>
      <c r="T92" s="412" t="s">
        <v>179</v>
      </c>
      <c r="U92" s="412"/>
      <c r="V92" s="412"/>
      <c r="W92" s="412"/>
      <c r="Z92" s="466" t="s">
        <v>174</v>
      </c>
      <c r="AA92" s="467"/>
      <c r="AB92" s="412" t="s">
        <v>179</v>
      </c>
      <c r="AC92" s="412"/>
      <c r="AD92" s="412"/>
      <c r="AE92" s="412"/>
    </row>
    <row r="93" spans="1:32" ht="18.95" customHeight="1" x14ac:dyDescent="0.25">
      <c r="B93" s="468"/>
      <c r="C93" s="469"/>
      <c r="D93" s="412" t="s">
        <v>177</v>
      </c>
      <c r="E93" s="412"/>
      <c r="F93" s="412" t="s">
        <v>178</v>
      </c>
      <c r="G93" s="412"/>
      <c r="J93" s="468"/>
      <c r="K93" s="469"/>
      <c r="L93" s="412" t="s">
        <v>177</v>
      </c>
      <c r="M93" s="412"/>
      <c r="N93" s="412" t="s">
        <v>178</v>
      </c>
      <c r="O93" s="412"/>
      <c r="R93" s="468"/>
      <c r="S93" s="469"/>
      <c r="T93" s="412" t="s">
        <v>177</v>
      </c>
      <c r="U93" s="412"/>
      <c r="V93" s="412" t="s">
        <v>178</v>
      </c>
      <c r="W93" s="412"/>
      <c r="Z93" s="468"/>
      <c r="AA93" s="469"/>
      <c r="AB93" s="412" t="s">
        <v>177</v>
      </c>
      <c r="AC93" s="412"/>
      <c r="AD93" s="412" t="s">
        <v>178</v>
      </c>
      <c r="AE93" s="412"/>
    </row>
    <row r="94" spans="1:32" ht="18.95" customHeight="1" x14ac:dyDescent="0.25">
      <c r="B94" s="470"/>
      <c r="C94" s="471"/>
      <c r="D94" s="158" t="s">
        <v>175</v>
      </c>
      <c r="E94" s="158" t="s">
        <v>176</v>
      </c>
      <c r="F94" s="158" t="s">
        <v>175</v>
      </c>
      <c r="G94" s="158" t="s">
        <v>176</v>
      </c>
      <c r="J94" s="470"/>
      <c r="K94" s="471"/>
      <c r="L94" s="158" t="s">
        <v>175</v>
      </c>
      <c r="M94" s="158" t="s">
        <v>176</v>
      </c>
      <c r="N94" s="158" t="s">
        <v>175</v>
      </c>
      <c r="O94" s="158" t="s">
        <v>176</v>
      </c>
      <c r="R94" s="470"/>
      <c r="S94" s="471"/>
      <c r="T94" s="158" t="s">
        <v>175</v>
      </c>
      <c r="U94" s="158" t="s">
        <v>176</v>
      </c>
      <c r="V94" s="158" t="s">
        <v>175</v>
      </c>
      <c r="W94" s="158" t="s">
        <v>176</v>
      </c>
      <c r="Z94" s="470"/>
      <c r="AA94" s="471"/>
      <c r="AB94" s="158" t="s">
        <v>175</v>
      </c>
      <c r="AC94" s="158" t="s">
        <v>176</v>
      </c>
      <c r="AD94" s="185" t="s">
        <v>175</v>
      </c>
      <c r="AE94" s="185" t="s">
        <v>176</v>
      </c>
    </row>
    <row r="95" spans="1:32" ht="18.95" customHeight="1" x14ac:dyDescent="0.25">
      <c r="B95" s="484" t="s">
        <v>857</v>
      </c>
      <c r="C95" s="485"/>
      <c r="D95" s="106">
        <f>F95*напитки!B25/G101</f>
        <v>4</v>
      </c>
      <c r="E95" s="106">
        <f>G95*напитки!B25/G101</f>
        <v>4</v>
      </c>
      <c r="F95" s="106">
        <f>20/5*100</f>
        <v>400</v>
      </c>
      <c r="G95" s="106">
        <f>20/5*100</f>
        <v>400</v>
      </c>
      <c r="J95" s="484" t="s">
        <v>583</v>
      </c>
      <c r="K95" s="485"/>
      <c r="L95" s="106">
        <f>211*M96/200</f>
        <v>211</v>
      </c>
      <c r="M95" s="106">
        <f>200*M96/200</f>
        <v>200</v>
      </c>
      <c r="N95" s="106">
        <f>L95*100</f>
        <v>21100</v>
      </c>
      <c r="O95" s="106">
        <f>M95*100</f>
        <v>20000</v>
      </c>
      <c r="R95" s="484" t="s">
        <v>870</v>
      </c>
      <c r="S95" s="485"/>
      <c r="T95" s="106">
        <f>207*U97/200</f>
        <v>207</v>
      </c>
      <c r="U95" s="106">
        <f>200*U97/200</f>
        <v>200</v>
      </c>
      <c r="V95" s="106">
        <f>T95*100</f>
        <v>20700</v>
      </c>
      <c r="W95" s="106">
        <f>U95*100</f>
        <v>20000</v>
      </c>
      <c r="Z95" s="479" t="s">
        <v>876</v>
      </c>
      <c r="AA95" s="480"/>
      <c r="AB95" s="106">
        <f>AD95*напитки!B31/AE98</f>
        <v>20</v>
      </c>
      <c r="AC95" s="106">
        <f>AE95*напитки!B31/AE98</f>
        <v>20</v>
      </c>
      <c r="AD95" s="106">
        <f>100/5*100</f>
        <v>2000</v>
      </c>
      <c r="AE95" s="106">
        <f>100/5*100</f>
        <v>2000</v>
      </c>
    </row>
    <row r="96" spans="1:32" ht="18.95" customHeight="1" x14ac:dyDescent="0.25">
      <c r="B96" s="463" t="s">
        <v>853</v>
      </c>
      <c r="C96" s="464"/>
      <c r="D96" s="106">
        <f>F96*напитки!B25/G101</f>
        <v>38</v>
      </c>
      <c r="E96" s="106">
        <f>G96*напитки!B25/G101</f>
        <v>38</v>
      </c>
      <c r="F96" s="106">
        <f>190/5*100</f>
        <v>3800</v>
      </c>
      <c r="G96" s="106">
        <f>190/5*100</f>
        <v>3800</v>
      </c>
      <c r="J96" s="534" t="s">
        <v>180</v>
      </c>
      <c r="K96" s="535"/>
      <c r="L96" s="106"/>
      <c r="M96" s="106">
        <f>напитки!B27</f>
        <v>200</v>
      </c>
      <c r="N96" s="106"/>
      <c r="O96" s="106">
        <f>M96*100</f>
        <v>20000</v>
      </c>
      <c r="R96" s="455" t="s">
        <v>871</v>
      </c>
      <c r="S96" s="456"/>
      <c r="T96" s="106">
        <f>206*U97/200</f>
        <v>206</v>
      </c>
      <c r="U96" s="106">
        <f>200*U97/200</f>
        <v>200</v>
      </c>
      <c r="V96" s="106">
        <f>T96*100</f>
        <v>20600</v>
      </c>
      <c r="W96" s="106">
        <f>U96*100</f>
        <v>20000</v>
      </c>
      <c r="Z96" s="455" t="s">
        <v>297</v>
      </c>
      <c r="AA96" s="456"/>
      <c r="AB96" s="106">
        <f>AD96*напитки!B31/AE98</f>
        <v>20</v>
      </c>
      <c r="AC96" s="106">
        <f>AE96*напитки!B31/AE98</f>
        <v>20</v>
      </c>
      <c r="AD96" s="106">
        <f>100/5*100</f>
        <v>2000</v>
      </c>
      <c r="AE96" s="106">
        <f>100/5*100</f>
        <v>2000</v>
      </c>
    </row>
    <row r="97" spans="1:32" ht="18.95" customHeight="1" x14ac:dyDescent="0.25">
      <c r="B97" s="455" t="s">
        <v>866</v>
      </c>
      <c r="C97" s="456"/>
      <c r="D97" s="106">
        <f>F97*напитки!B25/G101</f>
        <v>3</v>
      </c>
      <c r="E97" s="106">
        <f>G97*напитки!B25/G101</f>
        <v>3</v>
      </c>
      <c r="F97" s="106">
        <f>15/5*100</f>
        <v>300</v>
      </c>
      <c r="G97" s="106">
        <f>15/5*100</f>
        <v>300</v>
      </c>
      <c r="R97" s="534" t="s">
        <v>180</v>
      </c>
      <c r="S97" s="535"/>
      <c r="T97" s="106"/>
      <c r="U97" s="106">
        <f>напитки!B29</f>
        <v>200</v>
      </c>
      <c r="V97" s="106"/>
      <c r="W97" s="106">
        <f>U97*100</f>
        <v>20000</v>
      </c>
      <c r="Z97" s="455" t="s">
        <v>484</v>
      </c>
      <c r="AA97" s="456"/>
      <c r="AB97" s="106">
        <f>AD97*напитки!B31/AE98</f>
        <v>200</v>
      </c>
      <c r="AC97" s="106">
        <f>AE97*напитки!B31/AE98</f>
        <v>200</v>
      </c>
      <c r="AD97" s="106">
        <f>1000/5*100</f>
        <v>20000</v>
      </c>
      <c r="AE97" s="106">
        <f>1000/5*100</f>
        <v>20000</v>
      </c>
    </row>
    <row r="98" spans="1:32" ht="18.95" customHeight="1" x14ac:dyDescent="0.25">
      <c r="B98" s="463" t="s">
        <v>867</v>
      </c>
      <c r="C98" s="464"/>
      <c r="D98" s="106">
        <f>F98*напитки!B25/G101</f>
        <v>46</v>
      </c>
      <c r="E98" s="106">
        <f>G98*напитки!B25/G101</f>
        <v>46</v>
      </c>
      <c r="F98" s="106">
        <f>230/5*100</f>
        <v>4600</v>
      </c>
      <c r="G98" s="106">
        <f>230/5*100</f>
        <v>4600</v>
      </c>
      <c r="I98" s="459" t="s">
        <v>181</v>
      </c>
      <c r="J98" s="459"/>
      <c r="K98" s="459"/>
      <c r="L98" s="459"/>
      <c r="M98" s="459"/>
      <c r="N98" s="459"/>
      <c r="O98" s="459"/>
      <c r="P98" s="459"/>
      <c r="Z98" s="457" t="s">
        <v>180</v>
      </c>
      <c r="AA98" s="458"/>
      <c r="AB98" s="118"/>
      <c r="AC98" s="106">
        <f>AE98*напитки!B31/AE98</f>
        <v>200</v>
      </c>
      <c r="AD98" s="106"/>
      <c r="AE98" s="86">
        <f>1000/5*100</f>
        <v>20000</v>
      </c>
    </row>
    <row r="99" spans="1:32" ht="18.95" customHeight="1" x14ac:dyDescent="0.25">
      <c r="B99" s="455" t="s">
        <v>866</v>
      </c>
      <c r="C99" s="456"/>
      <c r="D99" s="106">
        <f>F99*напитки!B25/G101</f>
        <v>20</v>
      </c>
      <c r="E99" s="106">
        <f>G99*напитки!B25/G101</f>
        <v>20</v>
      </c>
      <c r="F99" s="106">
        <f>100/5*100</f>
        <v>2000</v>
      </c>
      <c r="G99" s="106">
        <f>100/5*100</f>
        <v>2000</v>
      </c>
      <c r="I99" s="185" t="s">
        <v>182</v>
      </c>
      <c r="J99" s="185" t="s">
        <v>106</v>
      </c>
      <c r="K99" s="115" t="s">
        <v>107</v>
      </c>
      <c r="L99" s="116" t="s">
        <v>187</v>
      </c>
      <c r="M99" s="185" t="s">
        <v>183</v>
      </c>
      <c r="N99" s="185" t="s">
        <v>184</v>
      </c>
      <c r="O99" s="185" t="s">
        <v>185</v>
      </c>
      <c r="P99" s="185" t="s">
        <v>186</v>
      </c>
      <c r="Q99" s="460" t="s">
        <v>181</v>
      </c>
      <c r="R99" s="459"/>
      <c r="S99" s="459"/>
      <c r="T99" s="459"/>
      <c r="U99" s="459"/>
      <c r="V99" s="459"/>
      <c r="W99" s="459"/>
      <c r="X99" s="459"/>
    </row>
    <row r="100" spans="1:32" ht="18.95" customHeight="1" x14ac:dyDescent="0.25">
      <c r="B100" s="455" t="s">
        <v>484</v>
      </c>
      <c r="C100" s="456"/>
      <c r="D100" s="106">
        <f>F100*напитки!B25/G101</f>
        <v>164</v>
      </c>
      <c r="E100" s="106">
        <f>G100*напитки!B25/G101</f>
        <v>164</v>
      </c>
      <c r="F100" s="106">
        <f>820/5*100</f>
        <v>16400</v>
      </c>
      <c r="G100" s="106">
        <f>820/5*100</f>
        <v>16400</v>
      </c>
      <c r="I100" s="41">
        <f>напитки!E27</f>
        <v>5.8</v>
      </c>
      <c r="J100" s="41">
        <f>напитки!F27</f>
        <v>5</v>
      </c>
      <c r="K100" s="41">
        <f>напитки!G27</f>
        <v>9.6</v>
      </c>
      <c r="L100" s="41">
        <f>напитки!H27</f>
        <v>107</v>
      </c>
      <c r="M100" s="41">
        <f>напитки!M27</f>
        <v>240</v>
      </c>
      <c r="N100" s="41">
        <f>напитки!O27</f>
        <v>28</v>
      </c>
      <c r="O100" s="41">
        <f>напитки!P27</f>
        <v>0.2</v>
      </c>
      <c r="P100" s="41">
        <f>напитки!J27</f>
        <v>2.6</v>
      </c>
      <c r="Q100" s="185" t="s">
        <v>182</v>
      </c>
      <c r="R100" s="185" t="s">
        <v>106</v>
      </c>
      <c r="S100" s="115" t="s">
        <v>107</v>
      </c>
      <c r="T100" s="116" t="s">
        <v>187</v>
      </c>
      <c r="U100" s="185" t="s">
        <v>183</v>
      </c>
      <c r="V100" s="185" t="s">
        <v>184</v>
      </c>
      <c r="W100" s="185" t="s">
        <v>185</v>
      </c>
      <c r="X100" s="185" t="s">
        <v>186</v>
      </c>
      <c r="Y100" s="460" t="s">
        <v>181</v>
      </c>
      <c r="Z100" s="459"/>
      <c r="AA100" s="459"/>
      <c r="AB100" s="459"/>
      <c r="AC100" s="459"/>
      <c r="AD100" s="459"/>
      <c r="AE100" s="459"/>
      <c r="AF100" s="459"/>
    </row>
    <row r="101" spans="1:32" ht="18.95" customHeight="1" x14ac:dyDescent="0.25">
      <c r="B101" s="457" t="s">
        <v>180</v>
      </c>
      <c r="C101" s="458"/>
      <c r="D101" s="118"/>
      <c r="E101" s="106">
        <f>G101*напитки!B25/G101</f>
        <v>200</v>
      </c>
      <c r="F101" s="106"/>
      <c r="G101" s="86">
        <f>1000/5*100</f>
        <v>20000</v>
      </c>
      <c r="Q101" s="41">
        <f>напитки!E29</f>
        <v>5.8</v>
      </c>
      <c r="R101" s="41">
        <f>напитки!F29</f>
        <v>5</v>
      </c>
      <c r="S101" s="41">
        <f>напитки!G29</f>
        <v>8</v>
      </c>
      <c r="T101" s="41">
        <f>напитки!H29</f>
        <v>100</v>
      </c>
      <c r="U101" s="41">
        <f>напитки!M29</f>
        <v>240</v>
      </c>
      <c r="V101" s="41">
        <f>напитки!O29</f>
        <v>28</v>
      </c>
      <c r="W101" s="41">
        <f>напитки!P29</f>
        <v>0.2</v>
      </c>
      <c r="X101" s="41">
        <f>напитки!J29</f>
        <v>40</v>
      </c>
      <c r="Y101" s="185" t="s">
        <v>182</v>
      </c>
      <c r="Z101" s="185" t="s">
        <v>106</v>
      </c>
      <c r="AA101" s="115" t="s">
        <v>107</v>
      </c>
      <c r="AB101" s="116" t="s">
        <v>187</v>
      </c>
      <c r="AC101" s="185" t="s">
        <v>183</v>
      </c>
      <c r="AD101" s="185" t="s">
        <v>184</v>
      </c>
      <c r="AE101" s="185" t="s">
        <v>185</v>
      </c>
      <c r="AF101" s="185" t="s">
        <v>186</v>
      </c>
    </row>
    <row r="102" spans="1:32" ht="18.95" customHeight="1" x14ac:dyDescent="0.25">
      <c r="I102" s="462" t="s">
        <v>869</v>
      </c>
      <c r="J102" s="462"/>
      <c r="K102" s="462"/>
      <c r="L102" s="462"/>
      <c r="M102" s="462"/>
      <c r="N102" s="462"/>
      <c r="O102" s="462"/>
      <c r="P102" s="462"/>
      <c r="Y102" s="41">
        <f>напитки!E31</f>
        <v>0.67800000000000005</v>
      </c>
      <c r="Z102" s="41">
        <f>напитки!F31</f>
        <v>0.27800000000000002</v>
      </c>
      <c r="AA102" s="41">
        <f>напитки!G31</f>
        <v>20.76</v>
      </c>
      <c r="AB102" s="41">
        <f>напитки!H31</f>
        <v>88.2</v>
      </c>
      <c r="AC102" s="41">
        <f>напитки!M31</f>
        <v>21.34</v>
      </c>
      <c r="AD102" s="41">
        <f>напитки!O31</f>
        <v>3.44</v>
      </c>
      <c r="AE102" s="41">
        <f>напитки!P31</f>
        <v>0.63400000000000001</v>
      </c>
      <c r="AF102" s="41">
        <f>напитки!J31</f>
        <v>100</v>
      </c>
    </row>
    <row r="103" spans="1:32" ht="18.95" customHeight="1" x14ac:dyDescent="0.25">
      <c r="A103" s="459" t="s">
        <v>181</v>
      </c>
      <c r="B103" s="459"/>
      <c r="C103" s="459"/>
      <c r="D103" s="459"/>
      <c r="E103" s="459"/>
      <c r="F103" s="459"/>
      <c r="G103" s="459"/>
      <c r="H103" s="459"/>
      <c r="I103" s="462"/>
      <c r="J103" s="462"/>
      <c r="K103" s="462"/>
      <c r="L103" s="462"/>
      <c r="M103" s="462"/>
      <c r="N103" s="462"/>
      <c r="O103" s="462"/>
      <c r="P103" s="462"/>
      <c r="Q103" s="462" t="s">
        <v>872</v>
      </c>
      <c r="R103" s="462"/>
      <c r="S103" s="462"/>
      <c r="T103" s="462"/>
      <c r="U103" s="462"/>
      <c r="V103" s="462"/>
      <c r="W103" s="462"/>
      <c r="X103" s="462"/>
    </row>
    <row r="104" spans="1:32" ht="18.95" customHeight="1" x14ac:dyDescent="0.25">
      <c r="A104" s="185" t="s">
        <v>182</v>
      </c>
      <c r="B104" s="185" t="s">
        <v>106</v>
      </c>
      <c r="C104" s="115" t="s">
        <v>107</v>
      </c>
      <c r="D104" s="116" t="s">
        <v>187</v>
      </c>
      <c r="E104" s="185" t="s">
        <v>183</v>
      </c>
      <c r="F104" s="185" t="s">
        <v>184</v>
      </c>
      <c r="G104" s="185" t="s">
        <v>185</v>
      </c>
      <c r="H104" s="185" t="s">
        <v>186</v>
      </c>
      <c r="I104" s="119"/>
      <c r="J104" s="119"/>
      <c r="K104" s="119"/>
      <c r="L104" s="119"/>
      <c r="M104" s="119"/>
      <c r="N104" s="119"/>
      <c r="O104" s="119"/>
      <c r="P104" s="119"/>
      <c r="Q104" s="119"/>
      <c r="R104" s="119"/>
      <c r="S104" s="119"/>
      <c r="T104" s="119"/>
      <c r="U104" s="119"/>
      <c r="V104" s="119"/>
      <c r="W104" s="119"/>
      <c r="X104" s="119"/>
      <c r="Y104" s="462" t="s">
        <v>877</v>
      </c>
      <c r="Z104" s="462"/>
      <c r="AA104" s="462"/>
      <c r="AB104" s="462"/>
      <c r="AC104" s="462"/>
      <c r="AD104" s="462"/>
      <c r="AE104" s="462"/>
      <c r="AF104" s="462"/>
    </row>
    <row r="105" spans="1:32" ht="18.95" customHeight="1" x14ac:dyDescent="0.25">
      <c r="A105" s="41">
        <f>напитки!E25</f>
        <v>4.1879999999999997</v>
      </c>
      <c r="B105" s="41">
        <f>напитки!F25</f>
        <v>4.3339999999999996</v>
      </c>
      <c r="C105" s="41">
        <f>напитки!G25</f>
        <v>25.446000000000002</v>
      </c>
      <c r="D105" s="41">
        <f>напитки!H25</f>
        <v>157.6</v>
      </c>
      <c r="E105" s="41">
        <f>напитки!M25</f>
        <v>119.36400000000002</v>
      </c>
      <c r="F105" s="41">
        <f>напитки!O25</f>
        <v>22.096</v>
      </c>
      <c r="G105" s="41">
        <f>напитки!P25</f>
        <v>0.62</v>
      </c>
      <c r="H105" s="41">
        <f>напитки!J25</f>
        <v>0.55200000000000005</v>
      </c>
      <c r="I105" s="454" t="s">
        <v>232</v>
      </c>
      <c r="J105" s="454"/>
      <c r="K105" s="454"/>
      <c r="L105" s="119"/>
      <c r="M105" s="119"/>
      <c r="N105" s="119"/>
      <c r="O105" s="119"/>
      <c r="P105" s="119"/>
      <c r="Q105" s="454" t="s">
        <v>232</v>
      </c>
      <c r="R105" s="454"/>
      <c r="S105" s="454"/>
      <c r="T105" s="119"/>
      <c r="U105" s="119"/>
      <c r="V105" s="119"/>
      <c r="W105" s="119"/>
      <c r="X105" s="119"/>
      <c r="Y105" s="462"/>
      <c r="Z105" s="462"/>
      <c r="AA105" s="462"/>
      <c r="AB105" s="462"/>
      <c r="AC105" s="462"/>
      <c r="AD105" s="462"/>
      <c r="AE105" s="462"/>
      <c r="AF105" s="462"/>
    </row>
    <row r="106" spans="1:32" ht="18.95" customHeight="1" x14ac:dyDescent="0.25">
      <c r="I106" s="119"/>
      <c r="J106" s="119"/>
      <c r="K106" s="119"/>
      <c r="L106" s="119"/>
      <c r="M106" s="119"/>
      <c r="N106" s="119"/>
      <c r="O106" s="119"/>
      <c r="P106" s="119"/>
      <c r="Q106" s="119"/>
      <c r="R106" s="119"/>
      <c r="S106" s="119"/>
      <c r="T106" s="119"/>
      <c r="U106" s="119"/>
      <c r="V106" s="119"/>
      <c r="W106" s="119"/>
      <c r="X106" s="119"/>
      <c r="Y106" s="462"/>
      <c r="Z106" s="462"/>
      <c r="AA106" s="462"/>
      <c r="AB106" s="462"/>
      <c r="AC106" s="462"/>
      <c r="AD106" s="462"/>
      <c r="AE106" s="462"/>
      <c r="AF106" s="462"/>
    </row>
    <row r="107" spans="1:32" ht="18.95" customHeight="1" x14ac:dyDescent="0.25">
      <c r="A107" s="483" t="s">
        <v>868</v>
      </c>
      <c r="B107" s="483"/>
      <c r="C107" s="483"/>
      <c r="D107" s="483"/>
      <c r="E107" s="483"/>
      <c r="F107" s="483"/>
      <c r="G107" s="483"/>
      <c r="H107" s="483"/>
      <c r="Q107" s="153"/>
      <c r="R107" s="153"/>
      <c r="S107" s="153"/>
      <c r="T107" s="153"/>
      <c r="U107" s="153"/>
      <c r="V107" s="153"/>
      <c r="W107" s="153"/>
      <c r="X107" s="153"/>
      <c r="Y107" s="119"/>
      <c r="Z107" s="119"/>
      <c r="AA107" s="119"/>
      <c r="AB107" s="119"/>
      <c r="AC107" s="119"/>
      <c r="AD107" s="119"/>
      <c r="AE107" s="119"/>
      <c r="AF107" s="119"/>
    </row>
    <row r="108" spans="1:32" ht="18.95" customHeight="1" x14ac:dyDescent="0.25">
      <c r="A108" s="483"/>
      <c r="B108" s="483"/>
      <c r="C108" s="483"/>
      <c r="D108" s="483"/>
      <c r="E108" s="483"/>
      <c r="F108" s="483"/>
      <c r="G108" s="483"/>
      <c r="H108" s="483"/>
      <c r="Y108" s="454" t="s">
        <v>232</v>
      </c>
      <c r="Z108" s="454"/>
      <c r="AA108" s="454"/>
      <c r="AB108" s="119"/>
      <c r="AC108" s="119"/>
      <c r="AD108" s="119"/>
      <c r="AE108" s="119"/>
      <c r="AF108" s="119"/>
    </row>
    <row r="109" spans="1:32" ht="18.95" customHeight="1" x14ac:dyDescent="0.25">
      <c r="A109" s="206"/>
      <c r="B109" s="206"/>
      <c r="C109" s="206"/>
      <c r="D109" s="206"/>
      <c r="E109" s="206"/>
      <c r="F109" s="206"/>
      <c r="G109" s="206"/>
      <c r="H109" s="206"/>
      <c r="Q109" s="161"/>
      <c r="R109" s="161"/>
      <c r="S109" s="161"/>
      <c r="AB109" s="119"/>
      <c r="AC109" s="119"/>
      <c r="AD109" s="119"/>
      <c r="AE109" s="119"/>
      <c r="AF109" s="119"/>
    </row>
    <row r="110" spans="1:32" ht="18.95" customHeight="1" x14ac:dyDescent="0.25">
      <c r="A110" s="454" t="s">
        <v>232</v>
      </c>
      <c r="B110" s="454"/>
      <c r="C110" s="454"/>
      <c r="D110" s="119"/>
      <c r="E110" s="119"/>
      <c r="F110" s="119"/>
      <c r="G110" s="119"/>
      <c r="H110" s="119"/>
    </row>
    <row r="111" spans="1:32" ht="18.95" customHeight="1" x14ac:dyDescent="0.25"/>
    <row r="112" spans="1:32" ht="18.95" customHeight="1" x14ac:dyDescent="0.25"/>
    <row r="113" spans="1:32" ht="18.95" customHeight="1" x14ac:dyDescent="0.25"/>
    <row r="114" spans="1:32" ht="18.95" customHeight="1" x14ac:dyDescent="0.25"/>
    <row r="115" spans="1:32" ht="18.95" customHeight="1" x14ac:dyDescent="0.25"/>
    <row r="116" spans="1:32" ht="18.95" customHeight="1" x14ac:dyDescent="0.25">
      <c r="A116" s="119"/>
      <c r="B116" s="119"/>
      <c r="C116" s="119"/>
      <c r="D116" s="119"/>
      <c r="E116" s="119"/>
      <c r="F116" s="119"/>
      <c r="G116" s="119"/>
      <c r="H116" s="119"/>
    </row>
    <row r="117" spans="1:32" ht="18.95" customHeight="1" x14ac:dyDescent="0.25"/>
    <row r="118" spans="1:32" ht="18.95" customHeight="1" x14ac:dyDescent="0.25">
      <c r="Y118" s="119"/>
      <c r="Z118" s="119"/>
      <c r="AA118" s="119"/>
      <c r="AB118" s="119"/>
      <c r="AC118" s="119"/>
      <c r="AD118" s="119"/>
      <c r="AE118" s="119"/>
      <c r="AF118" s="119"/>
    </row>
    <row r="119" spans="1:32" ht="18.95" customHeight="1" x14ac:dyDescent="0.25">
      <c r="Y119" s="119"/>
      <c r="Z119" s="119"/>
      <c r="AA119" s="119"/>
      <c r="AB119" s="119"/>
      <c r="AC119" s="119"/>
      <c r="AD119" s="119"/>
      <c r="AE119" s="119"/>
      <c r="AF119" s="119"/>
    </row>
    <row r="120" spans="1:32" ht="18.95" customHeight="1" x14ac:dyDescent="0.25"/>
    <row r="121" spans="1:32" ht="18.95" customHeight="1" x14ac:dyDescent="0.25"/>
    <row r="122" spans="1:32" ht="18.95" customHeight="1" x14ac:dyDescent="0.25"/>
    <row r="123" spans="1:32" ht="18.95" customHeight="1" x14ac:dyDescent="0.25"/>
  </sheetData>
  <mergeCells count="277">
    <mergeCell ref="Y108:AA108"/>
    <mergeCell ref="B100:C100"/>
    <mergeCell ref="B101:C101"/>
    <mergeCell ref="A103:H103"/>
    <mergeCell ref="A107:H108"/>
    <mergeCell ref="A110:C110"/>
    <mergeCell ref="I98:P98"/>
    <mergeCell ref="I102:P103"/>
    <mergeCell ref="I105:K105"/>
    <mergeCell ref="B99:C99"/>
    <mergeCell ref="Q99:X99"/>
    <mergeCell ref="Q103:X103"/>
    <mergeCell ref="Y100:AF100"/>
    <mergeCell ref="Q105:S105"/>
    <mergeCell ref="Y104:AF106"/>
    <mergeCell ref="AH16:AI16"/>
    <mergeCell ref="AG18:AN18"/>
    <mergeCell ref="AG22:AN23"/>
    <mergeCell ref="AG25:AI25"/>
    <mergeCell ref="A60:H60"/>
    <mergeCell ref="I60:P60"/>
    <mergeCell ref="I64:P65"/>
    <mergeCell ref="I67:K67"/>
    <mergeCell ref="Q60:X60"/>
    <mergeCell ref="Q64:X65"/>
    <mergeCell ref="Q67:S67"/>
    <mergeCell ref="Y59:AF59"/>
    <mergeCell ref="Y63:AF64"/>
    <mergeCell ref="Y66:AA66"/>
    <mergeCell ref="AG60:AN60"/>
    <mergeCell ref="AG64:AN65"/>
    <mergeCell ref="AG67:AI67"/>
    <mergeCell ref="J16:K16"/>
    <mergeCell ref="R16:S16"/>
    <mergeCell ref="Z16:AA16"/>
    <mergeCell ref="B17:C17"/>
    <mergeCell ref="J17:K17"/>
    <mergeCell ref="R17:S17"/>
    <mergeCell ref="Z17:AA17"/>
    <mergeCell ref="Y20:AF20"/>
    <mergeCell ref="Y24:AF28"/>
    <mergeCell ref="Y1:Z1"/>
    <mergeCell ref="AD1:AF1"/>
    <mergeCell ref="A5:H5"/>
    <mergeCell ref="I5:P5"/>
    <mergeCell ref="Q5:X5"/>
    <mergeCell ref="Y5:AF5"/>
    <mergeCell ref="A8:H8"/>
    <mergeCell ref="I8:P8"/>
    <mergeCell ref="Q8:X8"/>
    <mergeCell ref="Y8:AF8"/>
    <mergeCell ref="B13:C13"/>
    <mergeCell ref="J13:K13"/>
    <mergeCell ref="R13:S13"/>
    <mergeCell ref="Z13:AA13"/>
    <mergeCell ref="Z18:AA18"/>
    <mergeCell ref="B16:C16"/>
    <mergeCell ref="Q23:X24"/>
    <mergeCell ref="A19:H19"/>
    <mergeCell ref="I19:P19"/>
    <mergeCell ref="Q19:X19"/>
    <mergeCell ref="AG1:AH1"/>
    <mergeCell ref="AL1:AN1"/>
    <mergeCell ref="E2:H2"/>
    <mergeCell ref="M2:P2"/>
    <mergeCell ref="U2:X2"/>
    <mergeCell ref="AC2:AF2"/>
    <mergeCell ref="AK2:AN2"/>
    <mergeCell ref="A4:H4"/>
    <mergeCell ref="I4:P4"/>
    <mergeCell ref="Q4:X4"/>
    <mergeCell ref="Y4:AF4"/>
    <mergeCell ref="AG4:AN4"/>
    <mergeCell ref="A1:B1"/>
    <mergeCell ref="F1:H1"/>
    <mergeCell ref="I1:J1"/>
    <mergeCell ref="N1:P1"/>
    <mergeCell ref="Q1:R1"/>
    <mergeCell ref="V1:X1"/>
    <mergeCell ref="AG5:AN5"/>
    <mergeCell ref="A6:H6"/>
    <mergeCell ref="I6:P6"/>
    <mergeCell ref="Q6:X6"/>
    <mergeCell ref="Y6:AF6"/>
    <mergeCell ref="AG6:AN6"/>
    <mergeCell ref="A7:H7"/>
    <mergeCell ref="I7:P7"/>
    <mergeCell ref="Q7:X7"/>
    <mergeCell ref="Y7:AF7"/>
    <mergeCell ref="AG7:AN7"/>
    <mergeCell ref="AG8:AN8"/>
    <mergeCell ref="B10:C12"/>
    <mergeCell ref="D10:G10"/>
    <mergeCell ref="J10:K12"/>
    <mergeCell ref="L10:O10"/>
    <mergeCell ref="R10:S12"/>
    <mergeCell ref="T10:W10"/>
    <mergeCell ref="Z10:AA12"/>
    <mergeCell ref="AB10:AE10"/>
    <mergeCell ref="AH10:AI12"/>
    <mergeCell ref="AJ10:AM10"/>
    <mergeCell ref="D11:E11"/>
    <mergeCell ref="F11:G11"/>
    <mergeCell ref="L11:M11"/>
    <mergeCell ref="N11:O11"/>
    <mergeCell ref="T11:U11"/>
    <mergeCell ref="V11:W11"/>
    <mergeCell ref="AB11:AC11"/>
    <mergeCell ref="AD11:AE11"/>
    <mergeCell ref="AJ11:AK11"/>
    <mergeCell ref="AL11:AM11"/>
    <mergeCell ref="AH13:AI13"/>
    <mergeCell ref="B14:C14"/>
    <mergeCell ref="J14:K14"/>
    <mergeCell ref="R14:S14"/>
    <mergeCell ref="Z14:AA14"/>
    <mergeCell ref="AH14:AI14"/>
    <mergeCell ref="B15:C15"/>
    <mergeCell ref="J15:K15"/>
    <mergeCell ref="R15:S15"/>
    <mergeCell ref="Z15:AA15"/>
    <mergeCell ref="AH15:AI15"/>
    <mergeCell ref="A42:B42"/>
    <mergeCell ref="F42:H42"/>
    <mergeCell ref="I42:J42"/>
    <mergeCell ref="N42:P42"/>
    <mergeCell ref="Q42:R42"/>
    <mergeCell ref="V42:X42"/>
    <mergeCell ref="Y42:Z42"/>
    <mergeCell ref="Y30:AA30"/>
    <mergeCell ref="Q26:S26"/>
    <mergeCell ref="A23:H26"/>
    <mergeCell ref="A28:C28"/>
    <mergeCell ref="I23:P24"/>
    <mergeCell ref="I26:K26"/>
    <mergeCell ref="AD42:AF42"/>
    <mergeCell ref="AG42:AH42"/>
    <mergeCell ref="AL42:AN42"/>
    <mergeCell ref="E43:H43"/>
    <mergeCell ref="M43:P43"/>
    <mergeCell ref="U43:X43"/>
    <mergeCell ref="AC43:AF43"/>
    <mergeCell ref="AK43:AN43"/>
    <mergeCell ref="AG28:AI28"/>
    <mergeCell ref="Y33:AA33"/>
    <mergeCell ref="A45:H45"/>
    <mergeCell ref="I45:P45"/>
    <mergeCell ref="Q45:X45"/>
    <mergeCell ref="Y45:AF45"/>
    <mergeCell ref="AG45:AN45"/>
    <mergeCell ref="A46:H46"/>
    <mergeCell ref="I46:P46"/>
    <mergeCell ref="Q46:X46"/>
    <mergeCell ref="Y46:AF46"/>
    <mergeCell ref="AG46:AN46"/>
    <mergeCell ref="A47:H47"/>
    <mergeCell ref="I47:P47"/>
    <mergeCell ref="Q47:X47"/>
    <mergeCell ref="Y47:AF47"/>
    <mergeCell ref="AG47:AN47"/>
    <mergeCell ref="A48:H48"/>
    <mergeCell ref="I48:P48"/>
    <mergeCell ref="Q48:X48"/>
    <mergeCell ref="Y48:AF48"/>
    <mergeCell ref="AG48:AN48"/>
    <mergeCell ref="A49:H49"/>
    <mergeCell ref="I49:P49"/>
    <mergeCell ref="Q49:X49"/>
    <mergeCell ref="Y49:AF49"/>
    <mergeCell ref="AG49:AN49"/>
    <mergeCell ref="B51:C53"/>
    <mergeCell ref="D51:G51"/>
    <mergeCell ref="J51:K53"/>
    <mergeCell ref="L51:O51"/>
    <mergeCell ref="R51:S53"/>
    <mergeCell ref="T51:W51"/>
    <mergeCell ref="Z51:AA53"/>
    <mergeCell ref="AB51:AE51"/>
    <mergeCell ref="AH51:AI53"/>
    <mergeCell ref="AJ51:AM51"/>
    <mergeCell ref="D52:E52"/>
    <mergeCell ref="F52:G52"/>
    <mergeCell ref="L52:M52"/>
    <mergeCell ref="N52:O52"/>
    <mergeCell ref="T52:U52"/>
    <mergeCell ref="V52:W52"/>
    <mergeCell ref="AB52:AC52"/>
    <mergeCell ref="AD52:AE52"/>
    <mergeCell ref="AJ52:AK52"/>
    <mergeCell ref="AL52:AM52"/>
    <mergeCell ref="B54:C54"/>
    <mergeCell ref="J54:K54"/>
    <mergeCell ref="R54:S54"/>
    <mergeCell ref="Z54:AA54"/>
    <mergeCell ref="AH54:AI54"/>
    <mergeCell ref="B55:C55"/>
    <mergeCell ref="J55:K55"/>
    <mergeCell ref="R55:S55"/>
    <mergeCell ref="Z55:AA55"/>
    <mergeCell ref="AH55:AI55"/>
    <mergeCell ref="B56:C56"/>
    <mergeCell ref="J56:K56"/>
    <mergeCell ref="R56:S56"/>
    <mergeCell ref="Z56:AA56"/>
    <mergeCell ref="AH56:AI56"/>
    <mergeCell ref="B57:C57"/>
    <mergeCell ref="J57:K57"/>
    <mergeCell ref="R57:S57"/>
    <mergeCell ref="Z57:AA57"/>
    <mergeCell ref="AH57:AI57"/>
    <mergeCell ref="R58:S58"/>
    <mergeCell ref="AH58:AI58"/>
    <mergeCell ref="A64:H65"/>
    <mergeCell ref="A67:C67"/>
    <mergeCell ref="A83:B83"/>
    <mergeCell ref="F83:H83"/>
    <mergeCell ref="I83:J83"/>
    <mergeCell ref="N83:P83"/>
    <mergeCell ref="Q83:R83"/>
    <mergeCell ref="V83:X83"/>
    <mergeCell ref="Y83:Z83"/>
    <mergeCell ref="AD83:AF83"/>
    <mergeCell ref="B58:C58"/>
    <mergeCell ref="J58:K58"/>
    <mergeCell ref="AC84:AF84"/>
    <mergeCell ref="A86:H86"/>
    <mergeCell ref="I86:P86"/>
    <mergeCell ref="Q86:X86"/>
    <mergeCell ref="Y86:AF86"/>
    <mergeCell ref="A87:H87"/>
    <mergeCell ref="I87:P87"/>
    <mergeCell ref="Q87:X87"/>
    <mergeCell ref="Y87:AF87"/>
    <mergeCell ref="E84:H84"/>
    <mergeCell ref="M84:P84"/>
    <mergeCell ref="U84:X84"/>
    <mergeCell ref="Y88:AF88"/>
    <mergeCell ref="A89:H89"/>
    <mergeCell ref="I89:P89"/>
    <mergeCell ref="Q89:X89"/>
    <mergeCell ref="Y89:AF89"/>
    <mergeCell ref="A90:H90"/>
    <mergeCell ref="I90:P90"/>
    <mergeCell ref="Q90:X90"/>
    <mergeCell ref="Y90:AF90"/>
    <mergeCell ref="Z92:AA94"/>
    <mergeCell ref="AB92:AE92"/>
    <mergeCell ref="D93:E93"/>
    <mergeCell ref="F93:G93"/>
    <mergeCell ref="L93:M93"/>
    <mergeCell ref="N93:O93"/>
    <mergeCell ref="T93:U93"/>
    <mergeCell ref="V93:W93"/>
    <mergeCell ref="AB93:AC93"/>
    <mergeCell ref="AD93:AE93"/>
    <mergeCell ref="Z95:AA95"/>
    <mergeCell ref="Z98:AA98"/>
    <mergeCell ref="B96:C96"/>
    <mergeCell ref="J96:K96"/>
    <mergeCell ref="R96:S96"/>
    <mergeCell ref="Z96:AA96"/>
    <mergeCell ref="B97:C97"/>
    <mergeCell ref="R97:S97"/>
    <mergeCell ref="Z97:AA97"/>
    <mergeCell ref="B98:C98"/>
    <mergeCell ref="B95:C95"/>
    <mergeCell ref="J95:K95"/>
    <mergeCell ref="R95:S95"/>
    <mergeCell ref="B92:C94"/>
    <mergeCell ref="D92:G92"/>
    <mergeCell ref="J92:K94"/>
    <mergeCell ref="L92:O92"/>
    <mergeCell ref="R92:S94"/>
    <mergeCell ref="T92:W92"/>
    <mergeCell ref="A88:H88"/>
    <mergeCell ref="I88:P88"/>
    <mergeCell ref="Q88:X88"/>
  </mergeCells>
  <pageMargins left="0.7" right="0.7" top="0.75" bottom="0.75" header="0.3" footer="0.3"/>
  <pageSetup paperSize="9" fitToWidth="0"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sqref="A1:B1"/>
    </sheetView>
  </sheetViews>
  <sheetFormatPr defaultRowHeight="15" x14ac:dyDescent="0.25"/>
  <cols>
    <col min="1" max="8" width="10.7109375" customWidth="1"/>
  </cols>
  <sheetData>
    <row r="1" spans="1:8" ht="12.6" customHeight="1" x14ac:dyDescent="0.25">
      <c r="A1" s="454" t="s">
        <v>214</v>
      </c>
      <c r="B1" s="454"/>
      <c r="C1" s="125"/>
      <c r="D1" s="125"/>
      <c r="E1" s="125"/>
      <c r="F1" s="454" t="s">
        <v>215</v>
      </c>
      <c r="G1" s="454"/>
      <c r="H1" s="454"/>
    </row>
    <row r="2" spans="1:8" ht="12.6" customHeight="1" x14ac:dyDescent="0.25">
      <c r="A2" s="125"/>
      <c r="B2" s="125"/>
      <c r="C2" s="125"/>
      <c r="D2" s="125"/>
      <c r="E2" s="454" t="s">
        <v>216</v>
      </c>
      <c r="F2" s="454"/>
      <c r="G2" s="454"/>
      <c r="H2" s="454"/>
    </row>
    <row r="3" spans="1:8" ht="12.6" customHeight="1" x14ac:dyDescent="0.25">
      <c r="A3" s="125"/>
      <c r="B3" s="125"/>
      <c r="C3" s="125"/>
      <c r="D3" s="125"/>
      <c r="E3" s="239"/>
      <c r="F3" s="239"/>
      <c r="G3" s="239"/>
      <c r="H3" s="239"/>
    </row>
    <row r="4" spans="1:8" ht="18.95" customHeight="1" x14ac:dyDescent="0.25">
      <c r="A4" s="414" t="s">
        <v>986</v>
      </c>
      <c r="B4" s="414"/>
      <c r="C4" s="414"/>
      <c r="D4" s="414"/>
      <c r="E4" s="414"/>
      <c r="F4" s="414"/>
      <c r="G4" s="414"/>
      <c r="H4" s="414"/>
    </row>
    <row r="5" spans="1:8" ht="18.95" customHeight="1" x14ac:dyDescent="0.25">
      <c r="A5" s="473" t="s">
        <v>988</v>
      </c>
      <c r="B5" s="465"/>
      <c r="C5" s="465"/>
      <c r="D5" s="465"/>
      <c r="E5" s="465"/>
      <c r="F5" s="465"/>
      <c r="G5" s="465"/>
      <c r="H5" s="465"/>
    </row>
    <row r="6" spans="1:8" ht="18.95" customHeight="1" x14ac:dyDescent="0.25">
      <c r="A6" s="473" t="s">
        <v>987</v>
      </c>
      <c r="B6" s="473"/>
      <c r="C6" s="473"/>
      <c r="D6" s="473"/>
      <c r="E6" s="473"/>
      <c r="F6" s="473"/>
      <c r="G6" s="473"/>
      <c r="H6" s="473"/>
    </row>
    <row r="7" spans="1:8" ht="18.95" customHeight="1" x14ac:dyDescent="0.25">
      <c r="A7" s="465" t="s">
        <v>189</v>
      </c>
      <c r="B7" s="465"/>
      <c r="C7" s="465"/>
      <c r="D7" s="465"/>
      <c r="E7" s="465"/>
      <c r="F7" s="465"/>
      <c r="G7" s="465"/>
      <c r="H7" s="465"/>
    </row>
    <row r="8" spans="1:8" ht="18.95" customHeight="1" x14ac:dyDescent="0.25">
      <c r="A8" s="465" t="s">
        <v>190</v>
      </c>
      <c r="B8" s="465"/>
      <c r="C8" s="465"/>
      <c r="D8" s="465"/>
      <c r="E8" s="465"/>
      <c r="F8" s="465"/>
      <c r="G8" s="465"/>
      <c r="H8" s="465"/>
    </row>
    <row r="9" spans="1:8" ht="18.95" customHeight="1" x14ac:dyDescent="0.25">
      <c r="A9" s="125"/>
      <c r="B9" s="125"/>
      <c r="C9" s="245"/>
      <c r="D9" s="125"/>
      <c r="E9" s="125"/>
      <c r="F9" s="125"/>
      <c r="G9" s="125"/>
      <c r="H9" s="125"/>
    </row>
    <row r="10" spans="1:8" ht="18.95" customHeight="1" x14ac:dyDescent="0.25">
      <c r="A10" s="125"/>
      <c r="B10" s="466" t="s">
        <v>174</v>
      </c>
      <c r="C10" s="467"/>
      <c r="D10" s="412" t="s">
        <v>179</v>
      </c>
      <c r="E10" s="412"/>
      <c r="F10" s="412"/>
      <c r="G10" s="412"/>
      <c r="H10" s="125"/>
    </row>
    <row r="11" spans="1:8" ht="18.95" customHeight="1" x14ac:dyDescent="0.25">
      <c r="A11" s="125"/>
      <c r="B11" s="468"/>
      <c r="C11" s="469"/>
      <c r="D11" s="412" t="s">
        <v>177</v>
      </c>
      <c r="E11" s="412"/>
      <c r="F11" s="412" t="s">
        <v>178</v>
      </c>
      <c r="G11" s="412"/>
      <c r="H11" s="125"/>
    </row>
    <row r="12" spans="1:8" ht="18.95" customHeight="1" x14ac:dyDescent="0.25">
      <c r="A12" s="125"/>
      <c r="B12" s="470"/>
      <c r="C12" s="471"/>
      <c r="D12" s="236" t="s">
        <v>175</v>
      </c>
      <c r="E12" s="236" t="s">
        <v>176</v>
      </c>
      <c r="F12" s="236" t="s">
        <v>175</v>
      </c>
      <c r="G12" s="236" t="s">
        <v>176</v>
      </c>
      <c r="H12" s="125"/>
    </row>
    <row r="13" spans="1:8" ht="18.95" customHeight="1" x14ac:dyDescent="0.25">
      <c r="A13" s="125"/>
      <c r="B13" s="455" t="s">
        <v>440</v>
      </c>
      <c r="C13" s="456"/>
      <c r="D13" s="106">
        <v>12.5</v>
      </c>
      <c r="E13" s="106">
        <v>12.5</v>
      </c>
      <c r="F13" s="106">
        <f t="shared" ref="F13:G17" si="0">D13*100</f>
        <v>1250</v>
      </c>
      <c r="G13" s="106">
        <f t="shared" si="0"/>
        <v>1250</v>
      </c>
      <c r="H13" s="125"/>
    </row>
    <row r="14" spans="1:8" ht="18.95" customHeight="1" x14ac:dyDescent="0.25">
      <c r="A14" s="125"/>
      <c r="B14" s="488" t="s">
        <v>410</v>
      </c>
      <c r="C14" s="489"/>
      <c r="D14" s="106">
        <v>3.75</v>
      </c>
      <c r="E14" s="106">
        <v>3.75</v>
      </c>
      <c r="F14" s="106">
        <f t="shared" si="0"/>
        <v>375</v>
      </c>
      <c r="G14" s="106">
        <f t="shared" si="0"/>
        <v>375</v>
      </c>
      <c r="H14" s="125"/>
    </row>
    <row r="15" spans="1:8" ht="18.95" customHeight="1" x14ac:dyDescent="0.25">
      <c r="A15" s="125"/>
      <c r="B15" s="488" t="s">
        <v>484</v>
      </c>
      <c r="C15" s="489"/>
      <c r="D15" s="106">
        <v>37.5</v>
      </c>
      <c r="E15" s="106">
        <v>37.5</v>
      </c>
      <c r="F15" s="106">
        <f t="shared" si="0"/>
        <v>3750</v>
      </c>
      <c r="G15" s="106">
        <f t="shared" si="0"/>
        <v>3750</v>
      </c>
      <c r="H15" s="125"/>
    </row>
    <row r="16" spans="1:8" ht="18.95" customHeight="1" x14ac:dyDescent="0.25">
      <c r="B16" s="488" t="s">
        <v>476</v>
      </c>
      <c r="C16" s="489"/>
      <c r="D16" s="106">
        <v>0.3</v>
      </c>
      <c r="E16" s="106">
        <v>0.3</v>
      </c>
      <c r="F16" s="106">
        <f t="shared" si="0"/>
        <v>30</v>
      </c>
      <c r="G16" s="106">
        <f t="shared" si="0"/>
        <v>30</v>
      </c>
    </row>
    <row r="17" spans="1:8" ht="18.95" customHeight="1" x14ac:dyDescent="0.25">
      <c r="B17" s="488" t="s">
        <v>640</v>
      </c>
      <c r="C17" s="489"/>
      <c r="D17" s="106">
        <v>2E-3</v>
      </c>
      <c r="E17" s="106">
        <v>2E-3</v>
      </c>
      <c r="F17" s="106">
        <f t="shared" si="0"/>
        <v>0.2</v>
      </c>
      <c r="G17" s="106">
        <f t="shared" si="0"/>
        <v>0.2</v>
      </c>
    </row>
    <row r="18" spans="1:8" ht="18.95" customHeight="1" x14ac:dyDescent="0.25">
      <c r="A18" s="125"/>
      <c r="B18" s="455" t="s">
        <v>989</v>
      </c>
      <c r="C18" s="456"/>
      <c r="D18" s="106"/>
      <c r="E18" s="106">
        <v>37.5</v>
      </c>
      <c r="F18" s="106"/>
      <c r="G18" s="106">
        <f>E18*100</f>
        <v>3750</v>
      </c>
      <c r="H18" s="125"/>
    </row>
    <row r="19" spans="1:8" ht="18.95" customHeight="1" x14ac:dyDescent="0.25">
      <c r="A19" s="125"/>
      <c r="B19" s="457" t="s">
        <v>180</v>
      </c>
      <c r="C19" s="458"/>
      <c r="D19" s="118"/>
      <c r="E19" s="106">
        <v>50</v>
      </c>
      <c r="F19" s="106"/>
      <c r="G19" s="106">
        <f>E19*100</f>
        <v>5000</v>
      </c>
      <c r="H19" s="125"/>
    </row>
    <row r="20" spans="1:8" ht="18.95" customHeight="1" x14ac:dyDescent="0.25">
      <c r="A20" s="125"/>
      <c r="B20" s="125"/>
      <c r="C20" s="125"/>
      <c r="D20" s="125"/>
      <c r="E20" s="125"/>
      <c r="F20" s="125"/>
      <c r="G20" s="125"/>
      <c r="H20" s="125"/>
    </row>
    <row r="21" spans="1:8" ht="18.95" customHeight="1" x14ac:dyDescent="0.25">
      <c r="A21" s="459" t="s">
        <v>703</v>
      </c>
      <c r="B21" s="459"/>
      <c r="C21" s="459"/>
      <c r="D21" s="459"/>
      <c r="E21" s="459"/>
      <c r="F21" s="459"/>
      <c r="G21" s="459"/>
      <c r="H21" s="459"/>
    </row>
    <row r="22" spans="1:8" ht="18.95" customHeight="1" x14ac:dyDescent="0.25">
      <c r="A22" s="236" t="s">
        <v>182</v>
      </c>
      <c r="B22" s="236" t="s">
        <v>106</v>
      </c>
      <c r="C22" s="237" t="s">
        <v>107</v>
      </c>
      <c r="D22" s="238" t="s">
        <v>187</v>
      </c>
      <c r="E22" s="236" t="s">
        <v>183</v>
      </c>
      <c r="F22" s="236" t="s">
        <v>184</v>
      </c>
      <c r="G22" s="236" t="s">
        <v>185</v>
      </c>
      <c r="H22" s="236" t="s">
        <v>186</v>
      </c>
    </row>
    <row r="23" spans="1:8" ht="18.95" customHeight="1" x14ac:dyDescent="0.25">
      <c r="A23" s="41">
        <v>0.7</v>
      </c>
      <c r="B23" s="41">
        <v>2.4900000000000002</v>
      </c>
      <c r="C23" s="41">
        <v>2.93</v>
      </c>
      <c r="D23" s="41">
        <v>37.049999999999997</v>
      </c>
      <c r="E23" s="41">
        <v>13.65</v>
      </c>
      <c r="F23" s="41">
        <v>2.64</v>
      </c>
      <c r="G23" s="41">
        <v>0.1</v>
      </c>
      <c r="H23" s="41">
        <v>0.01</v>
      </c>
    </row>
    <row r="24" spans="1:8" ht="18.95" customHeight="1" x14ac:dyDescent="0.25">
      <c r="A24" s="125"/>
      <c r="B24" s="125"/>
      <c r="C24" s="125"/>
      <c r="D24" s="125"/>
      <c r="E24" s="125"/>
      <c r="F24" s="125"/>
      <c r="G24" s="125"/>
      <c r="H24" s="125"/>
    </row>
    <row r="25" spans="1:8" ht="18.95" customHeight="1" x14ac:dyDescent="0.25">
      <c r="A25" s="462" t="s">
        <v>990</v>
      </c>
      <c r="B25" s="462"/>
      <c r="C25" s="462"/>
      <c r="D25" s="462"/>
      <c r="E25" s="462"/>
      <c r="F25" s="462"/>
      <c r="G25" s="462"/>
      <c r="H25" s="462"/>
    </row>
    <row r="26" spans="1:8" ht="18.95" customHeight="1" x14ac:dyDescent="0.25">
      <c r="A26" s="462"/>
      <c r="B26" s="462"/>
      <c r="C26" s="462"/>
      <c r="D26" s="462"/>
      <c r="E26" s="462"/>
      <c r="F26" s="462"/>
      <c r="G26" s="462"/>
      <c r="H26" s="462"/>
    </row>
    <row r="27" spans="1:8" ht="18.95" customHeight="1" x14ac:dyDescent="0.25">
      <c r="A27" s="462"/>
      <c r="B27" s="462"/>
      <c r="C27" s="462"/>
      <c r="D27" s="462"/>
      <c r="E27" s="462"/>
      <c r="F27" s="462"/>
      <c r="G27" s="462"/>
      <c r="H27" s="462"/>
    </row>
    <row r="28" spans="1:8" ht="18.95" customHeight="1" x14ac:dyDescent="0.25">
      <c r="A28" s="462"/>
      <c r="B28" s="462"/>
      <c r="C28" s="462"/>
      <c r="D28" s="462"/>
      <c r="E28" s="462"/>
      <c r="F28" s="462"/>
      <c r="G28" s="462"/>
      <c r="H28" s="462"/>
    </row>
    <row r="29" spans="1:8" ht="18.95" customHeight="1" x14ac:dyDescent="0.25">
      <c r="A29" s="125"/>
      <c r="B29" s="125"/>
      <c r="C29" s="125"/>
      <c r="D29" s="125"/>
      <c r="E29" s="125"/>
      <c r="F29" s="125"/>
      <c r="G29" s="125"/>
      <c r="H29" s="125"/>
    </row>
    <row r="30" spans="1:8" ht="18.95" customHeight="1" x14ac:dyDescent="0.25">
      <c r="A30" s="454" t="s">
        <v>232</v>
      </c>
      <c r="B30" s="454"/>
      <c r="C30" s="454"/>
      <c r="D30" s="125"/>
      <c r="E30" s="125"/>
      <c r="F30" s="125"/>
      <c r="G30" s="125"/>
      <c r="H30" s="125"/>
    </row>
  </sheetData>
  <mergeCells count="22">
    <mergeCell ref="A25:H28"/>
    <mergeCell ref="A30:C30"/>
    <mergeCell ref="A21:H21"/>
    <mergeCell ref="B13:C13"/>
    <mergeCell ref="B14:C14"/>
    <mergeCell ref="B15:C15"/>
    <mergeCell ref="B18:C18"/>
    <mergeCell ref="B19:C19"/>
    <mergeCell ref="B16:C16"/>
    <mergeCell ref="B17:C17"/>
    <mergeCell ref="A7:H7"/>
    <mergeCell ref="A8:H8"/>
    <mergeCell ref="B10:C12"/>
    <mergeCell ref="D10:G10"/>
    <mergeCell ref="D11:E11"/>
    <mergeCell ref="F11:G11"/>
    <mergeCell ref="A6:H6"/>
    <mergeCell ref="A1:B1"/>
    <mergeCell ref="F1:H1"/>
    <mergeCell ref="E2:H2"/>
    <mergeCell ref="A4:H4"/>
    <mergeCell ref="A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12 дней с 12 до 18 лет</vt:lpstr>
      <vt:lpstr>Лист2</vt:lpstr>
      <vt:lpstr>Лист1</vt:lpstr>
      <vt:lpstr>РП с 7 до 11 лет</vt:lpstr>
      <vt:lpstr>Лист1 с 7 до 11 лет</vt:lpstr>
      <vt:lpstr>нормы</vt:lpstr>
      <vt:lpstr>расчеты</vt:lpstr>
      <vt:lpstr>салаты</vt:lpstr>
      <vt:lpstr>ТК_салаты_1-33</vt:lpstr>
      <vt:lpstr>мясо</vt:lpstr>
      <vt:lpstr>ТК_мясо_34-57</vt:lpstr>
      <vt:lpstr>каши</vt:lpstr>
      <vt:lpstr>ТК_каши_58-73</vt:lpstr>
      <vt:lpstr>супы</vt:lpstr>
      <vt:lpstr>ТК_супы_74-85</vt:lpstr>
      <vt:lpstr>выпечка</vt:lpstr>
      <vt:lpstr>ТК_выпечка_86-100</vt:lpstr>
      <vt:lpstr>напитки</vt:lpstr>
      <vt:lpstr>ТК_напитки_101-114</vt:lpstr>
      <vt:lpstr>ТК_соусы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Аскерова Светлана Сергеевна</dc:creator>
  <cp:lastModifiedBy>user</cp:lastModifiedBy>
  <cp:lastPrinted>2024-09-20T14:00:58Z</cp:lastPrinted>
  <dcterms:created xsi:type="dcterms:W3CDTF">2020-01-29T07:56:32Z</dcterms:created>
  <dcterms:modified xsi:type="dcterms:W3CDTF">2024-09-29T11:45:05Z</dcterms:modified>
</cp:coreProperties>
</file>